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codeName="ThisWorkbook" defaultThemeVersion="124226"/>
  <xr:revisionPtr revIDLastSave="0" documentId="13_ncr:1_{7E2E48AD-FA5F-4233-A4EC-303F1E69EC39}" xr6:coauthVersionLast="45" xr6:coauthVersionMax="45" xr10:uidLastSave="{00000000-0000-0000-0000-000000000000}"/>
  <bookViews>
    <workbookView xWindow="-113" yWindow="-113" windowWidth="24267" windowHeight="13148" activeTab="1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ANGLE_MAX">Sheet1!$B$23</definedName>
    <definedName name="DQ_E_SCALE">Sheet1!$B$54</definedName>
    <definedName name="DQ_I_SCALE">Sheet1!$B$52</definedName>
    <definedName name="DQ_U_SCALE">Sheet1!$B$53</definedName>
    <definedName name="DQ_W_SCALE">Sheet1!$B$55</definedName>
    <definedName name="E_MAX">Sheet1!$B$20</definedName>
    <definedName name="f_acr">Sheet1!$B$14</definedName>
    <definedName name="f_asr">Sheet1!$B$12</definedName>
    <definedName name="Flux_Ka_COEFF">Sheet1!#REF!</definedName>
    <definedName name="Flux_Kb_COEFF">Sheet1!#REF!</definedName>
    <definedName name="Flux_LD_NEG_SCALE">Sheet1!#REF!</definedName>
    <definedName name="Flux_LQ_NEG_SCALE">Sheet1!#REF!</definedName>
    <definedName name="Flux_LQ_SCALE">Sheet1!#REF!</definedName>
    <definedName name="Flux_MAX">Sheet1!#REF!</definedName>
    <definedName name="Flux_R_SCALE">Sheet1!#REF!</definedName>
    <definedName name="Flux_Rotor_Flux_COEFF">Sheet1!#REF!</definedName>
    <definedName name="FLUX_TO_att">Sheet1!#REF!</definedName>
    <definedName name="FLUX_TO_f">Sheet1!#REF!</definedName>
    <definedName name="FLUX_TO_Ki">Sheet1!#REF!</definedName>
    <definedName name="FLUX_TO_Ki_F">Sheet1!#REF!</definedName>
    <definedName name="FLUX_TO_Ki_F_shift">Sheet1!#REF!</definedName>
    <definedName name="FLUX_TO_Kisc">Sheet1!#REF!</definedName>
    <definedName name="FLUX_TO_Kisc_shift">Sheet1!#REF!</definedName>
    <definedName name="FLUX_TO_Kisc_sl">Sheet1!#REF!</definedName>
    <definedName name="FLUX_TO_Kisc_sr">Sheet1!#REF!</definedName>
    <definedName name="FLUX_TO_Kp">Sheet1!#REF!</definedName>
    <definedName name="FLUX_TO_Kp_F">Sheet1!#REF!</definedName>
    <definedName name="FLUX_TO_Kp_F_shift">Sheet1!#REF!</definedName>
    <definedName name="FLUX_TO_Kpsc">Sheet1!#REF!</definedName>
    <definedName name="FLUX_TO_Kpsc_shift">Sheet1!#REF!</definedName>
    <definedName name="FLUX_TO_Kpsc_sl">Sheet1!#REF!</definedName>
    <definedName name="FLUX_TO_Kpsc_sr">Sheet1!#REF!</definedName>
    <definedName name="FLUX_TO_Th">Sheet1!#REF!</definedName>
    <definedName name="FLUX_TO_Th_F">Sheet1!#REF!</definedName>
    <definedName name="FLUX_TO_Th_F_shift">Sheet1!#REF!</definedName>
    <definedName name="FLUX_TO_Th_shift">Sheet1!#REF!</definedName>
    <definedName name="FLUX_TO_Th_sl">Sheet1!#REF!</definedName>
    <definedName name="FLUX_TO_Th_sr">Sheet1!#REF!</definedName>
    <definedName name="FLUX_TO_w">Sheet1!#REF!</definedName>
    <definedName name="Flux_U_SCALE">Sheet1!#REF!</definedName>
    <definedName name="FW_A2">Sheet1!$B$44</definedName>
    <definedName name="FW_B1">Sheet1!$B$42</definedName>
    <definedName name="FW_B2">Sheet1!$B$43</definedName>
    <definedName name="FW_f_cd">Sheet1!$B$40</definedName>
    <definedName name="I_att">Sheet1!$B$113</definedName>
    <definedName name="I_f">Sheet1!$B$114</definedName>
    <definedName name="I_MAX">Sheet1!$B$19</definedName>
    <definedName name="I_THRESHOLD_FLUX_OBSRV">Sheet1!#REF!</definedName>
    <definedName name="I_THRESHOLD_FLUX_OBSRV_f">Sheet1!#REF!</definedName>
    <definedName name="I_w">Sheet1!$B$142</definedName>
    <definedName name="ID_Ki">Sheet1!$B$122</definedName>
    <definedName name="ID_Ki_F">Sheet1!$B$118</definedName>
    <definedName name="ID_Ki_F_shift">Sheet1!$B$119</definedName>
    <definedName name="ID_Kisc">Sheet1!$B$129</definedName>
    <definedName name="ID_Kisc_shift">Sheet1!$B$130</definedName>
    <definedName name="ID_Kisc_sl">Sheet1!$B$131</definedName>
    <definedName name="ID_Kisc_sr">Sheet1!$B$132</definedName>
    <definedName name="ID_Kp">Sheet1!$B$121</definedName>
    <definedName name="ID_Kp_F">Sheet1!$B$116</definedName>
    <definedName name="ID_Kp_F_shift">Sheet1!$B$117</definedName>
    <definedName name="ID_Kpsc">Sheet1!$B$124</definedName>
    <definedName name="ID_Kpsc_shift">Sheet1!$B$125</definedName>
    <definedName name="ID_Kpsc_sl">Sheet1!$B$126</definedName>
    <definedName name="ID_Kpsc_sr">Sheet1!$B$127</definedName>
    <definedName name="IQ_Ki">Sheet1!$B$144</definedName>
    <definedName name="IQ_Ki_F">Sheet1!$B$139</definedName>
    <definedName name="IQ_Ki_F_shift">Sheet1!$B$140</definedName>
    <definedName name="IQ_Kisc">Sheet1!$B$151</definedName>
    <definedName name="IQ_Kisc_shift">Sheet1!$B$152</definedName>
    <definedName name="IQ_Kisc_sl">Sheet1!$B$153</definedName>
    <definedName name="IQ_Kisc_sr">Sheet1!$B$154</definedName>
    <definedName name="IQ_Kp">Sheet1!$B$143</definedName>
    <definedName name="IQ_Kp_F">Sheet1!$B$137</definedName>
    <definedName name="IQ_Kp_F_shift">Sheet1!$B$138</definedName>
    <definedName name="IQ_Kpsc">Sheet1!$B$146</definedName>
    <definedName name="IQ_Kpsc_shift">Sheet1!$B$147</definedName>
    <definedName name="IQ_Kpsc_sl">Sheet1!$B$148</definedName>
    <definedName name="IQ_Kpsc_sr">Sheet1!$B$149</definedName>
    <definedName name="Kalpha">Sheet1!#REF!</definedName>
    <definedName name="Kbeta">Sheet1!#REF!</definedName>
    <definedName name="Ld">Sheet1!$B$8</definedName>
    <definedName name="Lq">Sheet1!$B$9</definedName>
    <definedName name="N_MAX">Sheet1!$B$22</definedName>
    <definedName name="Obs_DQ_att">Sheet1!$B$48</definedName>
    <definedName name="Obs_DQ_f">Sheet1!$B$49</definedName>
    <definedName name="Obs_DQ_Ki">Sheet1!$B$65</definedName>
    <definedName name="Obs_DQ_Ki_F">Sheet1!$B$60</definedName>
    <definedName name="Obs_DQ_Ki_F_shift">Sheet1!$B$61</definedName>
    <definedName name="Obs_DQ_Kisc">Sheet1!$B$72</definedName>
    <definedName name="Obs_DQ_Kisc_shift">Sheet1!$B$73</definedName>
    <definedName name="Obs_DQ_Kisc_sl">Sheet1!$B$74</definedName>
    <definedName name="Obs_DQ_Kisc_sr">Sheet1!$B$75</definedName>
    <definedName name="Obs_DQ_Kp">Sheet1!$B$64</definedName>
    <definedName name="Obs_DQ_Kp_F">Sheet1!$B$58</definedName>
    <definedName name="Obs_DQ_Kp_F_shift">Sheet1!$B$59</definedName>
    <definedName name="Obs_DQ_Kpsc">Sheet1!$B$67</definedName>
    <definedName name="Obs_DQ_Kpsc_shift">Sheet1!$B$68</definedName>
    <definedName name="Obs_DQ_Kpsc_sl">Sheet1!$B$69</definedName>
    <definedName name="Obs_DQ_Kpsc_sr">Sheet1!$B$70</definedName>
    <definedName name="Obs_DQ_w">Sheet1!$B$63</definedName>
    <definedName name="PP">Sheet1!$B$11</definedName>
    <definedName name="PWM_CLOCK">Sheet1!$B$13</definedName>
    <definedName name="Rotor_Flux">Sheet1!#REF!</definedName>
    <definedName name="Rs">Sheet1!$B$7</definedName>
    <definedName name="SPEED_EST_A2">Sheet1!$B$37</definedName>
    <definedName name="SPEED_EST_B1">Sheet1!$B$35</definedName>
    <definedName name="SPEED_EST_B2">Sheet1!$B$36</definedName>
    <definedName name="Speed_f_cd">Sheet1!$B$33</definedName>
    <definedName name="TO_att">Sheet1!$B$80</definedName>
    <definedName name="TO_f">Sheet1!$B$81</definedName>
    <definedName name="TO_Ki">Sheet1!$B$93</definedName>
    <definedName name="TO_Ki_F">Sheet1!$B$86</definedName>
    <definedName name="TO_Ki_F_shift">Sheet1!$B$87</definedName>
    <definedName name="TO_Kisc">Sheet1!$B$101</definedName>
    <definedName name="TO_Kisc_shift">Sheet1!$B$102</definedName>
    <definedName name="TO_Kisc_sl">Sheet1!$B$103</definedName>
    <definedName name="TO_Kisc_sr">Sheet1!$B$104</definedName>
    <definedName name="TO_Kp">Sheet1!$B$92</definedName>
    <definedName name="TO_Kp_F">Sheet1!$B$84</definedName>
    <definedName name="TO_Kp_F_shift">Sheet1!$B$85</definedName>
    <definedName name="TO_Kpsc">Sheet1!$B$96</definedName>
    <definedName name="TO_Kpsc_shift">Sheet1!$B$97</definedName>
    <definedName name="TO_Kpsc_sl">Sheet1!$B$98</definedName>
    <definedName name="TO_Kpsc_sr">Sheet1!$B$99</definedName>
    <definedName name="TO_Th">Sheet1!$B$106</definedName>
    <definedName name="TO_Th_F">Sheet1!$B$88</definedName>
    <definedName name="TO_Th_F_shift">Sheet1!$B$89</definedName>
    <definedName name="TO_Th_shift">Sheet1!$B$107</definedName>
    <definedName name="TO_Th_sl">Sheet1!$B$108</definedName>
    <definedName name="TO_Th_sr">Sheet1!$B$109</definedName>
    <definedName name="TO_w">Sheet1!$B$91</definedName>
    <definedName name="Ts">Sheet1!$B$10</definedName>
    <definedName name="U_MAX">Sheet1!$B$18</definedName>
    <definedName name="UDC_MAX">Sheet1!$B$17</definedName>
    <definedName name="UDCBUS_A2">Sheet1!$B$30</definedName>
    <definedName name="UDCBUS_B1">Sheet1!$B$28</definedName>
    <definedName name="UDCBUS_B2">Sheet1!$B$29</definedName>
    <definedName name="Vbus_f_cd">Sheet1!$B$26</definedName>
    <definedName name="Vbus_Ts">Sheet1!#REF!</definedName>
    <definedName name="W_MAX">Sheet1!$B$21</definedName>
    <definedName name="Wcp_FW">Sheet1!$B$41</definedName>
    <definedName name="Wcp_Speed">Sheet1!$B$34</definedName>
    <definedName name="Wcp_Vbus">Sheet1!$B$27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" i="2" l="1"/>
  <c r="D5" i="2"/>
  <c r="D6" i="2"/>
  <c r="D7" i="2"/>
  <c r="E68" i="2" l="1"/>
  <c r="B68" i="2"/>
  <c r="E64" i="2"/>
  <c r="B64" i="2"/>
  <c r="E60" i="2"/>
  <c r="B60" i="2"/>
  <c r="B38" i="2"/>
  <c r="B37" i="2"/>
  <c r="D22" i="2"/>
  <c r="D20" i="2"/>
  <c r="B41" i="1"/>
  <c r="B44" i="1" s="1"/>
  <c r="C71" i="2" s="1"/>
  <c r="B34" i="1"/>
  <c r="B37" i="1" s="1"/>
  <c r="C67" i="2" s="1"/>
  <c r="B27" i="1"/>
  <c r="B28" i="1" s="1"/>
  <c r="C61" i="2" s="1"/>
  <c r="B36" i="1" l="1"/>
  <c r="C66" i="2" s="1"/>
  <c r="B35" i="1"/>
  <c r="C65" i="2" s="1"/>
  <c r="B42" i="1"/>
  <c r="C69" i="2" s="1"/>
  <c r="B43" i="1"/>
  <c r="C70" i="2" s="1"/>
  <c r="B29" i="1"/>
  <c r="C62" i="2" s="1"/>
  <c r="B30" i="1"/>
  <c r="C63" i="2" s="1"/>
  <c r="B49" i="2"/>
  <c r="B48" i="2"/>
  <c r="B28" i="2"/>
  <c r="B27" i="2"/>
  <c r="D15" i="2"/>
  <c r="D14" i="2"/>
  <c r="D13" i="2"/>
  <c r="D11" i="2"/>
  <c r="B142" i="1"/>
  <c r="B143" i="1" s="1"/>
  <c r="B94" i="1"/>
  <c r="B91" i="1"/>
  <c r="B92" i="1" s="1"/>
  <c r="B54" i="1"/>
  <c r="E41" i="2" s="1"/>
  <c r="B52" i="1"/>
  <c r="E39" i="2" s="1"/>
  <c r="B63" i="1"/>
  <c r="B65" i="1" s="1"/>
  <c r="B72" i="1" s="1"/>
  <c r="B21" i="1"/>
  <c r="B18" i="1"/>
  <c r="D21" i="2" l="1"/>
  <c r="D23" i="2"/>
  <c r="B53" i="1"/>
  <c r="E40" i="2" s="1"/>
  <c r="D16" i="2"/>
  <c r="B146" i="1"/>
  <c r="B149" i="1" s="1"/>
  <c r="B55" i="1"/>
  <c r="E42" i="2" s="1"/>
  <c r="B144" i="1"/>
  <c r="B121" i="1"/>
  <c r="B124" i="1" s="1"/>
  <c r="B127" i="1" s="1"/>
  <c r="D12" i="2"/>
  <c r="B122" i="1"/>
  <c r="B129" i="1" s="1"/>
  <c r="B132" i="1" s="1"/>
  <c r="B64" i="1"/>
  <c r="B67" i="1" s="1"/>
  <c r="B70" i="1" s="1"/>
  <c r="B96" i="1"/>
  <c r="B98" i="1" s="1"/>
  <c r="B93" i="1"/>
  <c r="B101" i="1" s="1"/>
  <c r="B103" i="1" s="1"/>
  <c r="B106" i="1"/>
  <c r="B148" i="1" l="1"/>
  <c r="B147" i="1" s="1"/>
  <c r="B99" i="1"/>
  <c r="B97" i="1" s="1"/>
  <c r="B85" i="1" s="1"/>
  <c r="D51" i="2" s="1"/>
  <c r="B69" i="1"/>
  <c r="B68" i="1" s="1"/>
  <c r="B59" i="1" s="1"/>
  <c r="B126" i="1"/>
  <c r="B125" i="1" s="1"/>
  <c r="B131" i="1"/>
  <c r="B130" i="1" s="1"/>
  <c r="B104" i="1"/>
  <c r="B102" i="1" s="1"/>
  <c r="B108" i="1"/>
  <c r="B109" i="1"/>
  <c r="B151" i="1"/>
  <c r="B58" i="1" l="1"/>
  <c r="D43" i="2" s="1"/>
  <c r="B117" i="1"/>
  <c r="B116" i="1"/>
  <c r="B84" i="1"/>
  <c r="D50" i="2" s="1"/>
  <c r="B87" i="1"/>
  <c r="D53" i="2" s="1"/>
  <c r="B86" i="1"/>
  <c r="D52" i="2" s="1"/>
  <c r="B138" i="1"/>
  <c r="B137" i="1"/>
  <c r="B154" i="1"/>
  <c r="B153" i="1"/>
  <c r="B119" i="1"/>
  <c r="B118" i="1"/>
  <c r="B107" i="1"/>
  <c r="B75" i="1"/>
  <c r="B74" i="1"/>
  <c r="D29" i="2" l="1"/>
  <c r="D30" i="2"/>
  <c r="D32" i="2"/>
  <c r="B152" i="1"/>
  <c r="B140" i="1" s="1"/>
  <c r="B89" i="1"/>
  <c r="D55" i="2" s="1"/>
  <c r="B88" i="1"/>
  <c r="D54" i="2" s="1"/>
  <c r="B73" i="1"/>
  <c r="B139" i="1" l="1"/>
  <c r="D33" i="2" s="1"/>
  <c r="B61" i="1"/>
  <c r="B60" i="1"/>
  <c r="D44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D57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Author:</t>
        </r>
        <r>
          <rPr>
            <sz val="9"/>
            <color indexed="81"/>
            <rFont val="Tahoma"/>
            <family val="2"/>
          </rPr>
          <t xml:space="preserve">
tau=L/R</t>
        </r>
      </text>
    </comment>
  </commentList>
</comments>
</file>

<file path=xl/sharedStrings.xml><?xml version="1.0" encoding="utf-8"?>
<sst xmlns="http://schemas.openxmlformats.org/spreadsheetml/2006/main" count="375" uniqueCount="179">
  <si>
    <t>Rs</t>
  </si>
  <si>
    <t>ohm</t>
  </si>
  <si>
    <t>Ld</t>
  </si>
  <si>
    <t>H</t>
  </si>
  <si>
    <t>Lq</t>
  </si>
  <si>
    <t>s</t>
  </si>
  <si>
    <t>U_max</t>
  </si>
  <si>
    <t>V</t>
  </si>
  <si>
    <t>I_max</t>
  </si>
  <si>
    <t>A</t>
  </si>
  <si>
    <t>E_max</t>
  </si>
  <si>
    <t>W_max</t>
  </si>
  <si>
    <t xml:space="preserve">Speed_max </t>
  </si>
  <si>
    <t>RPM</t>
  </si>
  <si>
    <t>Pn</t>
  </si>
  <si>
    <t>f16I_scale</t>
  </si>
  <si>
    <t>f16U_scale</t>
  </si>
  <si>
    <t>f16E_scale</t>
  </si>
  <si>
    <t>f16W_scale</t>
  </si>
  <si>
    <t>pu</t>
  </si>
  <si>
    <t>电机控制参数</t>
  </si>
  <si>
    <t>电机最大值</t>
  </si>
  <si>
    <t>2*pi*(Speed_max*Pn/60)</t>
  </si>
  <si>
    <t>Pairs</t>
  </si>
  <si>
    <t>Attenuation</t>
  </si>
  <si>
    <t>f0</t>
  </si>
  <si>
    <t>w0</t>
  </si>
  <si>
    <t>Hz</t>
  </si>
  <si>
    <t>rad/s</t>
  </si>
  <si>
    <t>Kp</t>
  </si>
  <si>
    <t>Ki</t>
  </si>
  <si>
    <t>w0^2*Ld</t>
  </si>
  <si>
    <t>Kisc</t>
  </si>
  <si>
    <t>U_max/sqrt(3)</t>
  </si>
  <si>
    <t>二阶参数</t>
  </si>
  <si>
    <t>N/A</t>
  </si>
  <si>
    <t>shift_left</t>
  </si>
  <si>
    <t>shift_right</t>
  </si>
  <si>
    <t>lg(1/Ksc)/lg2</t>
  </si>
  <si>
    <t>lg(0.5/Ksc)/lg2</t>
  </si>
  <si>
    <t>shift</t>
  </si>
  <si>
    <t>f16Kp</t>
  </si>
  <si>
    <t>f16Ki</t>
  </si>
  <si>
    <t>shift_Kp</t>
  </si>
  <si>
    <t>粗体为手动填写</t>
  </si>
  <si>
    <t>Th</t>
  </si>
  <si>
    <t>f16Th</t>
  </si>
  <si>
    <t>shift_Th</t>
  </si>
  <si>
    <t>注释</t>
  </si>
  <si>
    <t>单位</t>
  </si>
  <si>
    <t>数值</t>
  </si>
  <si>
    <t>angle_max</t>
  </si>
  <si>
    <t>shift_Ki</t>
  </si>
  <si>
    <t>w0^2</t>
  </si>
  <si>
    <t>Kp/W_max</t>
  </si>
  <si>
    <t>lg(1/Kisc)/lg2</t>
  </si>
  <si>
    <t>lg(0.5/Kisc)/lg2</t>
  </si>
  <si>
    <t>lg(1/Th)/lg2</t>
  </si>
  <si>
    <t>lg(0.5/Th)/lg2</t>
  </si>
  <si>
    <t>Observer PI and Current PI</t>
  </si>
  <si>
    <t>机器码=原码*2^(-shift)</t>
  </si>
  <si>
    <t>has the same PI and 1/s structure</t>
  </si>
  <si>
    <t>has the same PI and 1/(tau*s+1) structure</t>
  </si>
  <si>
    <t xml:space="preserve"> 蓝色方块为表中所需项目</t>
  </si>
  <si>
    <t>b1</t>
  </si>
  <si>
    <t>b2</t>
  </si>
  <si>
    <t>a2</t>
  </si>
  <si>
    <t>2/Ts_p*tan(w_cd*delta_T/2),  w_cd = 2pi*f_cd</t>
  </si>
  <si>
    <t>between left and right</t>
  </si>
  <si>
    <t>D轴电流环</t>
  </si>
  <si>
    <t>Q轴电流环</t>
  </si>
  <si>
    <t>w0^2*Lq</t>
  </si>
  <si>
    <t>w0 = 2*pi * f0</t>
  </si>
  <si>
    <t>rad</t>
  </si>
  <si>
    <t>Tracking Observer</t>
  </si>
  <si>
    <t>电流环</t>
  </si>
  <si>
    <t>#define</t>
  </si>
  <si>
    <t>U_DCB_MAX</t>
  </si>
  <si>
    <t>U_MAX</t>
  </si>
  <si>
    <t>I_MAX</t>
  </si>
  <si>
    <t>E_MAX</t>
  </si>
  <si>
    <t>N_MAX</t>
  </si>
  <si>
    <t>MC_FAST_CONTROL_LOOP_FREQ</t>
  </si>
  <si>
    <t>MC_SLOW_CONTROL_LOOP_FREQ</t>
  </si>
  <si>
    <t>/*ACR parameter*/</t>
  </si>
  <si>
    <t>*/</t>
  </si>
  <si>
    <t>/*bandWidth=</t>
  </si>
  <si>
    <t>D_KP_GAIN</t>
  </si>
  <si>
    <t>D_KI_GAIN</t>
  </si>
  <si>
    <t>Q_KP_GAIN</t>
  </si>
  <si>
    <t>Q_KI_GAIN</t>
  </si>
  <si>
    <t>/*DQ Observer parameters*/</t>
  </si>
  <si>
    <t>I_SCALE</t>
  </si>
  <si>
    <t>U_SCALE</t>
  </si>
  <si>
    <t>E_SCALE</t>
  </si>
  <si>
    <t>WI_SCALE</t>
  </si>
  <si>
    <t>FRAC16(</t>
  </si>
  <si>
    <t>)</t>
  </si>
  <si>
    <t>BEMF_DQ_KP_GAIN</t>
  </si>
  <si>
    <t>BEMF_DQ_KI_GAIN</t>
  </si>
  <si>
    <t>(</t>
  </si>
  <si>
    <t>TO_KP_GAIN</t>
  </si>
  <si>
    <t>TO_KP_SHIFT</t>
  </si>
  <si>
    <t>TO_KI_GAIN</t>
  </si>
  <si>
    <t>TO_KI_SHIFT</t>
  </si>
  <si>
    <t>TO_THETA_GAIN</t>
  </si>
  <si>
    <t>TO_THETA_SHIFT</t>
  </si>
  <si>
    <t>ACR_Freq</t>
  </si>
  <si>
    <t>ASR_Freq</t>
  </si>
  <si>
    <t>PWM_CLOCK</t>
  </si>
  <si>
    <t>/*Damping Coefficient_D&amp;Q_ACR=</t>
  </si>
  <si>
    <t>[Hz]*/</t>
  </si>
  <si>
    <t>Ts</t>
  </si>
  <si>
    <t>观测器(DQ)</t>
  </si>
  <si>
    <t>Ld/(Ld+Ts * R)</t>
  </si>
  <si>
    <t>UDC_max</t>
  </si>
  <si>
    <t>Ts*U_max/(Ld+Ts*R)/I_max</t>
  </si>
  <si>
    <t>Ts*E_max/(Ld+Ts*R)/I_max</t>
  </si>
  <si>
    <t>Lq*Ts*W_max/(Ld+Ts*R)</t>
  </si>
  <si>
    <t>2*att*w0*Ld-R</t>
  </si>
  <si>
    <t>Kp*I_max/U_max</t>
  </si>
  <si>
    <t>Kp*I_max/E_max</t>
  </si>
  <si>
    <t>Kpsc</t>
  </si>
  <si>
    <t>Ts*Ki*I_max/E_max</t>
  </si>
  <si>
    <t>lg(1/Kpsc)/lg2</t>
  </si>
  <si>
    <t>lg(0.5/Kpsc)/lg2</t>
  </si>
  <si>
    <t>att</t>
  </si>
  <si>
    <t>2*att*w0</t>
  </si>
  <si>
    <t>Ts*Ki/W_max</t>
  </si>
  <si>
    <t>Ts * W_max/angle_max</t>
  </si>
  <si>
    <t>2*att*w0*Lq-R</t>
  </si>
  <si>
    <t>Ts*Ki*I_max/U_max</t>
  </si>
  <si>
    <t>一阶滤波器参数(Dc bus voltage)</t>
  </si>
  <si>
    <t>f_c</t>
  </si>
  <si>
    <t>Wc_p</t>
  </si>
  <si>
    <t>一阶滤波器参数(Speed)</t>
  </si>
  <si>
    <t>一阶滤波器参数(Field Weakening)</t>
  </si>
  <si>
    <t>MC_POLE_PAIRS</t>
  </si>
  <si>
    <t>STATOR_R</t>
  </si>
  <si>
    <t>LD_INDUCTANCE</t>
  </si>
  <si>
    <t>LQ_INDUCTANCE</t>
  </si>
  <si>
    <t xml:space="preserve"> /* [ohm] */</t>
  </si>
  <si>
    <t xml:space="preserve"> /* [Henry] */</t>
  </si>
  <si>
    <t xml:space="preserve"> /* [pairs] */</t>
  </si>
  <si>
    <t>/* Motor basic parameters */</t>
  </si>
  <si>
    <t>//------------------------------------------------------------------------------------------------------------------------------------------</t>
  </si>
  <si>
    <t>/* Based value */</t>
  </si>
  <si>
    <t xml:space="preserve"> /* [V] */</t>
  </si>
  <si>
    <t xml:space="preserve"> /* [A] */</t>
  </si>
  <si>
    <t xml:space="preserve"> /* [RPM] */</t>
  </si>
  <si>
    <t>POWER_MAX</t>
  </si>
  <si>
    <t xml:space="preserve"> /* [Watt] */</t>
  </si>
  <si>
    <t>/* Time scaling */</t>
  </si>
  <si>
    <t xml:space="preserve">#define </t>
  </si>
  <si>
    <t>MC_PWM_CLK_FREQ</t>
  </si>
  <si>
    <t xml:space="preserve"> /*  [Hz] */</t>
  </si>
  <si>
    <t>SPEED_LOOP_CNTR</t>
  </si>
  <si>
    <t>// Damping Coefficient =</t>
  </si>
  <si>
    <t>// BandWidth =</t>
  </si>
  <si>
    <t>[Hz]</t>
  </si>
  <si>
    <t>/* Tracking Observer for DQ -observer */</t>
  </si>
  <si>
    <t>// Bandwidth =</t>
  </si>
  <si>
    <t>/* Filters */</t>
  </si>
  <si>
    <t xml:space="preserve">// Udc bus voltage, cutoff freq = </t>
  </si>
  <si>
    <t>Ts =</t>
  </si>
  <si>
    <t>[s]</t>
  </si>
  <si>
    <t xml:space="preserve">// Speed_DQ obsrv , cutoff freq = </t>
  </si>
  <si>
    <t xml:space="preserve">// FW error , cutoff freq = </t>
  </si>
  <si>
    <t>MC_FILTER_UDCBUS_B0</t>
    <phoneticPr fontId="5" type="noConversion"/>
  </si>
  <si>
    <t>MC_FILTER_UDCBUS_B1</t>
    <phoneticPr fontId="5" type="noConversion"/>
  </si>
  <si>
    <t>MC_FILTER_UDCBUS_A1</t>
    <phoneticPr fontId="5" type="noConversion"/>
  </si>
  <si>
    <t>MC_FILTER_SPEED_EST_B0</t>
    <phoneticPr fontId="5" type="noConversion"/>
  </si>
  <si>
    <t>MC_FILTER_SPEED_EST_B1</t>
    <phoneticPr fontId="5" type="noConversion"/>
  </si>
  <si>
    <t>MC_FILTER_SPEED_EST_A1</t>
    <phoneticPr fontId="5" type="noConversion"/>
  </si>
  <si>
    <t>MC_FILTER_FW_B0</t>
    <phoneticPr fontId="5" type="noConversion"/>
  </si>
  <si>
    <t>MC_FILTER_FW_B1</t>
    <phoneticPr fontId="5" type="noConversion"/>
  </si>
  <si>
    <t>MC_FILTER_FW_A1</t>
    <phoneticPr fontId="5" type="noConversion"/>
  </si>
  <si>
    <t>ACC32(</t>
    <phoneticPr fontId="5" type="noConversion"/>
  </si>
  <si>
    <t>ACC32(</t>
    <phoneticPr fontId="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</si>
</sst>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000000000000"/>
  </numFmts>
  <fonts count="6">
    <font>
      <sz val="11"/>
      <color theme="1"/>
      <name val="宋体"/>
      <family val="2"/>
      <scheme val="minor"/>
    </font>
    <font>
      <b/>
      <sz val="11"/>
      <color theme="1"/>
      <name val="宋体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1"/>
      <name val="宋体"/>
      <family val="2"/>
      <scheme val="minor"/>
    </font>
    <font>
      <sz val="9"/>
      <name val="宋体"/>
      <family val="3"/>
      <charset val="134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0" xfId="0" applyFill="1"/>
    <xf numFmtId="0" fontId="0" fillId="3" borderId="1" xfId="0" applyFill="1" applyBorder="1"/>
    <xf numFmtId="0" fontId="0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Fill="1" applyBorder="1"/>
    <xf numFmtId="0" fontId="1" fillId="2" borderId="1" xfId="0" applyFont="1" applyFill="1" applyBorder="1"/>
    <xf numFmtId="0" fontId="0" fillId="2" borderId="1" xfId="0" applyFill="1" applyBorder="1"/>
    <xf numFmtId="0" fontId="1" fillId="0" borderId="1" xfId="0" applyFont="1" applyFill="1" applyBorder="1"/>
    <xf numFmtId="0" fontId="0" fillId="0" borderId="1" xfId="0" applyFont="1" applyBorder="1"/>
    <xf numFmtId="0" fontId="0" fillId="0" borderId="1" xfId="0" applyBorder="1"/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3" borderId="1" xfId="0" applyFont="1" applyFill="1" applyBorder="1"/>
    <xf numFmtId="0" fontId="0" fillId="0" borderId="1" xfId="0" applyFont="1" applyFill="1" applyBorder="1"/>
    <xf numFmtId="1" fontId="0" fillId="0" borderId="1" xfId="0" applyNumberFormat="1" applyFill="1" applyBorder="1"/>
    <xf numFmtId="176" fontId="0" fillId="0" borderId="1" xfId="0" applyNumberFormat="1" applyFont="1" applyBorder="1" applyAlignment="1">
      <alignment horizontal="center" vertical="center"/>
    </xf>
    <xf numFmtId="0" fontId="0" fillId="4" borderId="1" xfId="0" applyFont="1" applyFill="1" applyBorder="1"/>
    <xf numFmtId="0" fontId="0" fillId="4" borderId="1" xfId="0" applyFill="1" applyBorder="1"/>
    <xf numFmtId="0" fontId="0" fillId="4" borderId="1" xfId="0" applyFon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/>
    <xf numFmtId="0" fontId="1" fillId="6" borderId="1" xfId="0" applyFont="1" applyFill="1" applyBorder="1"/>
    <xf numFmtId="0" fontId="4" fillId="0" borderId="1" xfId="0" applyFont="1" applyFill="1" applyBorder="1"/>
    <xf numFmtId="0" fontId="1" fillId="0" borderId="1" xfId="0" applyNumberFormat="1" applyFont="1" applyFill="1" applyBorder="1"/>
    <xf numFmtId="0" fontId="0" fillId="7" borderId="1" xfId="0" applyFont="1" applyFill="1" applyBorder="1"/>
    <xf numFmtId="0" fontId="0" fillId="7" borderId="1" xfId="0" applyFill="1" applyBorder="1"/>
    <xf numFmtId="0" fontId="0" fillId="8" borderId="1" xfId="0" applyNumberFormat="1" applyFill="1" applyBorder="1"/>
    <xf numFmtId="1" fontId="0" fillId="8" borderId="1" xfId="0" applyNumberFormat="1" applyFill="1" applyBorder="1"/>
    <xf numFmtId="0" fontId="0" fillId="8" borderId="1" xfId="0" applyFill="1" applyBorder="1"/>
    <xf numFmtId="0" fontId="0" fillId="0" borderId="0" xfId="0" applyAlignment="1">
      <alignment horizontal="righ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6" borderId="1" xfId="0" applyFill="1" applyBorder="1"/>
    <xf numFmtId="0" fontId="0" fillId="9" borderId="1" xfId="0" applyFill="1" applyBorder="1"/>
    <xf numFmtId="0" fontId="0" fillId="4" borderId="2" xfId="0" applyFill="1" applyBorder="1" applyAlignment="1">
      <alignment horizontal="center"/>
    </xf>
    <xf numFmtId="0" fontId="0" fillId="4" borderId="3" xfId="0" applyFont="1" applyFill="1" applyBorder="1" applyAlignment="1">
      <alignment horizontal="center"/>
    </xf>
    <xf numFmtId="0" fontId="0" fillId="4" borderId="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G154"/>
  <sheetViews>
    <sheetView zoomScaleNormal="100" workbookViewId="0">
      <selection activeCell="H58" sqref="H58"/>
    </sheetView>
  </sheetViews>
  <sheetFormatPr defaultRowHeight="15.05"/>
  <cols>
    <col min="1" max="1" width="32.44140625" style="9" customWidth="1"/>
    <col min="2" max="2" width="19.109375" style="10" customWidth="1"/>
    <col min="3" max="3" width="21.44140625" style="3" customWidth="1"/>
    <col min="4" max="4" width="41.6640625" style="4" customWidth="1"/>
    <col min="5" max="5" width="13.6640625" customWidth="1"/>
  </cols>
  <sheetData>
    <row r="1" spans="1:4">
      <c r="A1" s="2" t="s">
        <v>63</v>
      </c>
      <c r="B1" s="2"/>
    </row>
    <row r="2" spans="1:4" hidden="1">
      <c r="A2" s="5"/>
      <c r="B2" s="5"/>
    </row>
    <row r="3" spans="1:4" hidden="1">
      <c r="A3" s="6" t="s">
        <v>44</v>
      </c>
      <c r="B3" s="7"/>
    </row>
    <row r="4" spans="1:4" hidden="1">
      <c r="A4" s="8"/>
      <c r="B4" s="5"/>
    </row>
    <row r="5" spans="1:4">
      <c r="B5" s="10" t="s">
        <v>50</v>
      </c>
      <c r="C5" s="4" t="s">
        <v>49</v>
      </c>
      <c r="D5" s="4" t="s">
        <v>48</v>
      </c>
    </row>
    <row r="6" spans="1:4" s="1" customFormat="1">
      <c r="A6" s="18" t="s">
        <v>20</v>
      </c>
      <c r="B6" s="18"/>
      <c r="C6" s="19"/>
      <c r="D6" s="20"/>
    </row>
    <row r="7" spans="1:4" s="1" customFormat="1">
      <c r="A7" s="25" t="s">
        <v>0</v>
      </c>
      <c r="B7" s="22">
        <v>1.2</v>
      </c>
      <c r="C7" s="11" t="s">
        <v>1</v>
      </c>
      <c r="D7" s="12"/>
    </row>
    <row r="8" spans="1:4" s="1" customFormat="1">
      <c r="A8" s="25" t="s">
        <v>2</v>
      </c>
      <c r="B8" s="22">
        <v>3.7599999999999999E-3</v>
      </c>
      <c r="C8" s="11" t="s">
        <v>3</v>
      </c>
      <c r="D8" s="12">
        <v>3.7599999999999999E-3</v>
      </c>
    </row>
    <row r="9" spans="1:4" s="1" customFormat="1">
      <c r="A9" s="25" t="s">
        <v>4</v>
      </c>
      <c r="B9" s="22">
        <v>3.8500000000000001E-3</v>
      </c>
      <c r="C9" s="11" t="s">
        <v>3</v>
      </c>
      <c r="D9" s="12">
        <v>3.8500000000000001E-3</v>
      </c>
    </row>
    <row r="10" spans="1:4" s="1" customFormat="1">
      <c r="A10" s="25" t="s">
        <v>112</v>
      </c>
      <c r="B10" s="22">
        <v>6.2500000000000001E-5</v>
      </c>
      <c r="C10" s="11" t="s">
        <v>5</v>
      </c>
      <c r="D10" s="12"/>
    </row>
    <row r="11" spans="1:4">
      <c r="A11" s="25" t="s">
        <v>14</v>
      </c>
      <c r="B11" s="22">
        <v>4</v>
      </c>
      <c r="C11" s="11" t="s">
        <v>23</v>
      </c>
      <c r="D11" s="12"/>
    </row>
    <row r="12" spans="1:4">
      <c r="A12" s="34" t="s">
        <v>108</v>
      </c>
      <c r="B12" s="33">
        <v>1000</v>
      </c>
      <c r="C12" s="4" t="s">
        <v>27</v>
      </c>
    </row>
    <row r="13" spans="1:4">
      <c r="A13" s="34" t="s">
        <v>109</v>
      </c>
      <c r="B13" s="33">
        <v>100000000</v>
      </c>
      <c r="C13" s="4" t="s">
        <v>27</v>
      </c>
    </row>
    <row r="14" spans="1:4">
      <c r="A14" s="34" t="s">
        <v>107</v>
      </c>
      <c r="B14" s="33">
        <v>16000</v>
      </c>
      <c r="C14" s="4" t="s">
        <v>27</v>
      </c>
    </row>
    <row r="15" spans="1:4">
      <c r="A15" s="29"/>
      <c r="B15" s="29"/>
      <c r="C15" s="4"/>
    </row>
    <row r="16" spans="1:4" s="1" customFormat="1">
      <c r="A16" s="17" t="s">
        <v>21</v>
      </c>
      <c r="B16" s="18"/>
      <c r="C16" s="19"/>
      <c r="D16" s="20"/>
    </row>
    <row r="17" spans="1:4" s="1" customFormat="1">
      <c r="A17" s="25" t="s">
        <v>115</v>
      </c>
      <c r="B17" s="22">
        <v>433</v>
      </c>
      <c r="C17" s="11" t="s">
        <v>7</v>
      </c>
      <c r="D17" s="12"/>
    </row>
    <row r="18" spans="1:4" s="1" customFormat="1">
      <c r="A18" s="25" t="s">
        <v>6</v>
      </c>
      <c r="B18" s="29">
        <f>UDC_MAX/SQRT(3)</f>
        <v>249.99266655910796</v>
      </c>
      <c r="C18" s="11" t="s">
        <v>7</v>
      </c>
      <c r="D18" s="12" t="s">
        <v>33</v>
      </c>
    </row>
    <row r="19" spans="1:4" s="1" customFormat="1">
      <c r="A19" s="25" t="s">
        <v>8</v>
      </c>
      <c r="B19" s="22">
        <v>8</v>
      </c>
      <c r="C19" s="11" t="s">
        <v>9</v>
      </c>
      <c r="D19" s="12"/>
    </row>
    <row r="20" spans="1:4" s="1" customFormat="1">
      <c r="A20" s="25" t="s">
        <v>10</v>
      </c>
      <c r="B20" s="22">
        <v>250</v>
      </c>
      <c r="C20" s="11" t="s">
        <v>7</v>
      </c>
      <c r="D20" s="12"/>
    </row>
    <row r="21" spans="1:4">
      <c r="A21" s="25" t="s">
        <v>11</v>
      </c>
      <c r="B21" s="29">
        <f>2*3.1415926*N_MAX*PP/60</f>
        <v>3351.0321066666666</v>
      </c>
      <c r="C21" s="11" t="s">
        <v>28</v>
      </c>
      <c r="D21" s="12" t="s">
        <v>22</v>
      </c>
    </row>
    <row r="22" spans="1:4">
      <c r="A22" s="25" t="s">
        <v>12</v>
      </c>
      <c r="B22" s="22">
        <v>8000</v>
      </c>
      <c r="C22" s="11" t="s">
        <v>13</v>
      </c>
      <c r="D22" s="12"/>
    </row>
    <row r="23" spans="1:4" s="1" customFormat="1">
      <c r="A23" s="25" t="s">
        <v>51</v>
      </c>
      <c r="B23" s="22">
        <v>3.1415926000000001</v>
      </c>
      <c r="C23" s="4" t="s">
        <v>73</v>
      </c>
      <c r="D23" s="4"/>
    </row>
    <row r="24" spans="1:4" s="1" customFormat="1">
      <c r="A24" s="14"/>
      <c r="B24" s="6"/>
      <c r="C24" s="3"/>
      <c r="D24" s="4"/>
    </row>
    <row r="25" spans="1:4" s="1" customFormat="1">
      <c r="A25" s="18" t="s">
        <v>132</v>
      </c>
      <c r="B25" s="18"/>
      <c r="C25" s="19"/>
      <c r="D25" s="20"/>
    </row>
    <row r="26" spans="1:4" s="1" customFormat="1">
      <c r="A26" s="26" t="s">
        <v>133</v>
      </c>
      <c r="B26" s="22">
        <v>100</v>
      </c>
      <c r="C26" s="12" t="s">
        <v>27</v>
      </c>
      <c r="D26" s="12"/>
    </row>
    <row r="27" spans="1:4" s="1" customFormat="1">
      <c r="A27" s="26" t="s">
        <v>134</v>
      </c>
      <c r="B27" s="5">
        <f>2/0.5*TAN(2*3.14*Vbus_f_cd*Ts/2)</f>
        <v>7.8510079399151445E-2</v>
      </c>
      <c r="C27" s="12" t="s">
        <v>28</v>
      </c>
      <c r="D27" s="12" t="s">
        <v>67</v>
      </c>
    </row>
    <row r="28" spans="1:4" s="1" customFormat="1">
      <c r="A28" s="26" t="s">
        <v>64</v>
      </c>
      <c r="B28" s="29">
        <f>0.5*Wcp_Vbus/(2+0.5*Wcp_Vbus)</f>
        <v>1.924969605830117E-2</v>
      </c>
      <c r="C28" s="12"/>
      <c r="D28" s="12"/>
    </row>
    <row r="29" spans="1:4" s="1" customFormat="1">
      <c r="A29" s="26" t="s">
        <v>65</v>
      </c>
      <c r="B29" s="29">
        <f>0.5*Wcp_Vbus/(2+0.5*Wcp_Vbus)</f>
        <v>1.924969605830117E-2</v>
      </c>
      <c r="C29" s="12"/>
      <c r="D29" s="12"/>
    </row>
    <row r="30" spans="1:4" s="1" customFormat="1">
      <c r="A30" s="26" t="s">
        <v>66</v>
      </c>
      <c r="B30" s="29">
        <f>(0.5*Wcp_Vbus-2)/(2+0.5*Wcp_Vbus)</f>
        <v>-0.96150060788339764</v>
      </c>
      <c r="C30" s="12"/>
      <c r="D30" s="12"/>
    </row>
    <row r="31" spans="1:4" s="1" customFormat="1">
      <c r="A31" s="14"/>
      <c r="B31" s="6"/>
      <c r="C31" s="3"/>
      <c r="D31" s="4"/>
    </row>
    <row r="32" spans="1:4" s="1" customFormat="1">
      <c r="A32" s="18" t="s">
        <v>135</v>
      </c>
      <c r="B32" s="18"/>
      <c r="C32" s="19"/>
      <c r="D32" s="20"/>
    </row>
    <row r="33" spans="1:4" s="1" customFormat="1">
      <c r="A33" s="26" t="s">
        <v>133</v>
      </c>
      <c r="B33" s="22">
        <v>30</v>
      </c>
      <c r="C33" s="12" t="s">
        <v>27</v>
      </c>
      <c r="D33" s="12"/>
    </row>
    <row r="34" spans="1:4" s="1" customFormat="1">
      <c r="A34" s="26" t="s">
        <v>134</v>
      </c>
      <c r="B34" s="5">
        <f>2/0.5*TAN(2*3.14*Speed_f_cd*Ts/2)</f>
        <v>2.3550272105624326E-2</v>
      </c>
      <c r="C34" s="12" t="s">
        <v>28</v>
      </c>
      <c r="D34" s="12" t="s">
        <v>67</v>
      </c>
    </row>
    <row r="35" spans="1:4" s="1" customFormat="1">
      <c r="A35" s="26" t="s">
        <v>64</v>
      </c>
      <c r="B35" s="29">
        <f>0.5*Wcp_Speed/(2+0.5*Wcp_Speed)</f>
        <v>5.8531074580807658E-3</v>
      </c>
      <c r="C35" s="12"/>
      <c r="D35" s="12"/>
    </row>
    <row r="36" spans="1:4" s="1" customFormat="1">
      <c r="A36" s="26" t="s">
        <v>65</v>
      </c>
      <c r="B36" s="29">
        <f>0.5*Wcp_Speed/(2+0.5*Wcp_Speed)</f>
        <v>5.8531074580807658E-3</v>
      </c>
      <c r="C36" s="12"/>
      <c r="D36" s="12"/>
    </row>
    <row r="37" spans="1:4" s="1" customFormat="1">
      <c r="A37" s="26" t="s">
        <v>66</v>
      </c>
      <c r="B37" s="29">
        <f>(0.5*Wcp_Speed-2)/(2+0.5*Wcp_Speed)</f>
        <v>-0.98829378508383836</v>
      </c>
      <c r="C37" s="12"/>
      <c r="D37" s="12"/>
    </row>
    <row r="38" spans="1:4" s="1" customFormat="1">
      <c r="A38" s="14"/>
      <c r="B38" s="6"/>
      <c r="C38" s="3"/>
      <c r="D38" s="4"/>
    </row>
    <row r="39" spans="1:4" s="1" customFormat="1">
      <c r="A39" s="18" t="s">
        <v>136</v>
      </c>
      <c r="B39" s="18"/>
      <c r="C39" s="19"/>
      <c r="D39" s="20"/>
    </row>
    <row r="40" spans="1:4" s="1" customFormat="1">
      <c r="A40" s="26" t="s">
        <v>133</v>
      </c>
      <c r="B40" s="22">
        <v>50</v>
      </c>
      <c r="C40" s="12" t="s">
        <v>27</v>
      </c>
      <c r="D40" s="12"/>
    </row>
    <row r="41" spans="1:4" s="1" customFormat="1">
      <c r="A41" s="26" t="s">
        <v>134</v>
      </c>
      <c r="B41" s="5">
        <f>2/0.5*TAN(2*3.14*FW_f_cd/(2*f_asr))</f>
        <v>0.63321124415368635</v>
      </c>
      <c r="C41" s="12" t="s">
        <v>28</v>
      </c>
      <c r="D41" s="12" t="s">
        <v>67</v>
      </c>
    </row>
    <row r="42" spans="1:4" s="1" customFormat="1">
      <c r="A42" s="26" t="s">
        <v>64</v>
      </c>
      <c r="B42" s="29">
        <f>0.5*Wcp_FW/(2+0.5*Wcp_FW)</f>
        <v>0.13666789852344627</v>
      </c>
      <c r="C42" s="12"/>
      <c r="D42" s="12"/>
    </row>
    <row r="43" spans="1:4" s="1" customFormat="1">
      <c r="A43" s="26" t="s">
        <v>65</v>
      </c>
      <c r="B43" s="29">
        <f>0.5*Wcp_FW/(2+0.5*Wcp_FW)</f>
        <v>0.13666789852344627</v>
      </c>
      <c r="C43" s="12"/>
      <c r="D43" s="12"/>
    </row>
    <row r="44" spans="1:4" s="1" customFormat="1">
      <c r="A44" s="26" t="s">
        <v>66</v>
      </c>
      <c r="B44" s="29">
        <f>(0.5*Wcp_FW-2)/(2+0.5*Wcp_FW)</f>
        <v>-0.7266642029531073</v>
      </c>
      <c r="C44" s="12"/>
      <c r="D44" s="12"/>
    </row>
    <row r="45" spans="1:4" s="1" customFormat="1">
      <c r="A45" s="14"/>
      <c r="B45" s="6"/>
      <c r="C45" s="3"/>
      <c r="D45" s="4"/>
    </row>
    <row r="46" spans="1:4" s="1" customFormat="1">
      <c r="A46" s="18" t="s">
        <v>113</v>
      </c>
      <c r="B46" s="18"/>
      <c r="C46" s="19"/>
      <c r="D46" s="20"/>
    </row>
    <row r="47" spans="1:4">
      <c r="A47" s="9" t="s">
        <v>34</v>
      </c>
    </row>
    <row r="48" spans="1:4">
      <c r="A48" s="26" t="s">
        <v>24</v>
      </c>
      <c r="B48" s="22">
        <v>0.85</v>
      </c>
      <c r="C48" s="11" t="s">
        <v>35</v>
      </c>
      <c r="D48" s="12"/>
    </row>
    <row r="49" spans="1:5">
      <c r="A49" s="25" t="s">
        <v>25</v>
      </c>
      <c r="B49" s="22">
        <v>500</v>
      </c>
      <c r="C49" s="11" t="s">
        <v>27</v>
      </c>
      <c r="D49" s="12"/>
    </row>
    <row r="51" spans="1:5">
      <c r="A51" s="13"/>
      <c r="B51" s="5"/>
      <c r="C51" s="11"/>
      <c r="D51" s="12"/>
    </row>
    <row r="52" spans="1:5">
      <c r="A52" s="25" t="s">
        <v>15</v>
      </c>
      <c r="B52" s="27">
        <f>Ld/(Ld+Ts*Rs)</f>
        <v>0.98044328552803128</v>
      </c>
      <c r="C52" s="11" t="s">
        <v>19</v>
      </c>
      <c r="D52" s="12" t="s">
        <v>114</v>
      </c>
    </row>
    <row r="53" spans="1:5">
      <c r="A53" s="25" t="s">
        <v>16</v>
      </c>
      <c r="B53" s="27">
        <f>Ts*U_MAX/(Ld+Ts*Rs)/I_MAX</f>
        <v>0.50927449999818275</v>
      </c>
      <c r="C53" s="11" t="s">
        <v>19</v>
      </c>
      <c r="D53" s="12" t="s">
        <v>116</v>
      </c>
    </row>
    <row r="54" spans="1:5">
      <c r="A54" s="25" t="s">
        <v>17</v>
      </c>
      <c r="B54" s="27">
        <f>Ts*E_MAX/(Ld+Ts*Rs)/I_MAX</f>
        <v>0.50928943937418514</v>
      </c>
      <c r="C54" s="11" t="s">
        <v>19</v>
      </c>
      <c r="D54" s="12" t="s">
        <v>117</v>
      </c>
    </row>
    <row r="55" spans="1:5">
      <c r="A55" s="25" t="s">
        <v>18</v>
      </c>
      <c r="B55" s="27">
        <f>Lq*Ts*W_MAX/(Ld+Ts*Rs)</f>
        <v>0.2102586963928727</v>
      </c>
      <c r="C55" s="11" t="s">
        <v>19</v>
      </c>
      <c r="D55" s="12" t="s">
        <v>118</v>
      </c>
    </row>
    <row r="56" spans="1:5">
      <c r="A56" s="14"/>
      <c r="B56" s="15"/>
      <c r="C56" s="11"/>
      <c r="D56" s="12"/>
    </row>
    <row r="57" spans="1:5">
      <c r="A57" s="2" t="s">
        <v>59</v>
      </c>
      <c r="B57" s="15"/>
      <c r="C57" s="11"/>
      <c r="D57" s="12" t="s">
        <v>62</v>
      </c>
    </row>
    <row r="58" spans="1:5" s="1" customFormat="1">
      <c r="A58" s="25" t="s">
        <v>41</v>
      </c>
      <c r="B58" s="27">
        <f>(2^(Obs_DQ_Kpsc_shift))*Obs_DQ_Kpsc</f>
        <v>0.60419391677440004</v>
      </c>
      <c r="C58" s="11"/>
      <c r="D58" s="12"/>
      <c r="E58"/>
    </row>
    <row r="59" spans="1:5" s="1" customFormat="1">
      <c r="A59" s="25" t="s">
        <v>43</v>
      </c>
      <c r="B59" s="28">
        <f>-Obs_DQ_Kpsc_shift</f>
        <v>0</v>
      </c>
      <c r="C59" s="11"/>
      <c r="D59" s="4" t="s">
        <v>60</v>
      </c>
    </row>
    <row r="60" spans="1:5" s="1" customFormat="1">
      <c r="A60" s="25" t="s">
        <v>42</v>
      </c>
      <c r="B60" s="27">
        <f>(2^(Obs_DQ_Kisc_shift))*Obs_DQ_Kisc</f>
        <v>0.59375538051278554</v>
      </c>
      <c r="C60" s="11"/>
      <c r="D60" s="12"/>
      <c r="E60"/>
    </row>
    <row r="61" spans="1:5" s="1" customFormat="1">
      <c r="A61" s="26" t="s">
        <v>52</v>
      </c>
      <c r="B61" s="28">
        <f>-Obs_DQ_Kisc_shift</f>
        <v>-3</v>
      </c>
      <c r="C61" s="11"/>
      <c r="D61" s="4" t="s">
        <v>60</v>
      </c>
    </row>
    <row r="62" spans="1:5" s="1" customFormat="1">
      <c r="A62" s="9"/>
      <c r="B62" s="10"/>
      <c r="C62" s="16"/>
      <c r="D62" s="4"/>
    </row>
    <row r="63" spans="1:5">
      <c r="A63" s="13" t="s">
        <v>26</v>
      </c>
      <c r="B63" s="5">
        <f>2*3.1415926*Obs_DQ_f</f>
        <v>3141.5925999999999</v>
      </c>
      <c r="C63" s="11" t="s">
        <v>28</v>
      </c>
      <c r="D63" s="12"/>
    </row>
    <row r="64" spans="1:5" s="1" customFormat="1">
      <c r="A64" s="9" t="s">
        <v>29</v>
      </c>
      <c r="B64" s="10">
        <f>2*Obs_DQ_att*Obs_DQ_w*Ld-Rs</f>
        <v>18.8810598992</v>
      </c>
      <c r="C64" s="3" t="s">
        <v>35</v>
      </c>
      <c r="D64" s="4" t="s">
        <v>119</v>
      </c>
    </row>
    <row r="65" spans="1:7" s="1" customFormat="1">
      <c r="A65" s="9" t="s">
        <v>30</v>
      </c>
      <c r="B65" s="10">
        <f>(Obs_DQ_w^2)*Ld</f>
        <v>37109.711282049095</v>
      </c>
      <c r="C65" s="3" t="s">
        <v>35</v>
      </c>
      <c r="D65" s="4" t="s">
        <v>31</v>
      </c>
      <c r="E65" s="5"/>
    </row>
    <row r="66" spans="1:7" s="1" customFormat="1">
      <c r="A66" s="9"/>
      <c r="B66" s="10"/>
      <c r="C66" s="3"/>
      <c r="D66" s="4"/>
    </row>
    <row r="67" spans="1:7" s="1" customFormat="1">
      <c r="A67" s="9" t="s">
        <v>122</v>
      </c>
      <c r="B67" s="10">
        <f>Obs_DQ_Kp*I_MAX/E_MAX</f>
        <v>0.60419391677440004</v>
      </c>
      <c r="C67" s="4" t="s">
        <v>35</v>
      </c>
      <c r="D67" s="4" t="s">
        <v>121</v>
      </c>
    </row>
    <row r="68" spans="1:7">
      <c r="A68" s="9" t="s">
        <v>40</v>
      </c>
      <c r="B68" s="24">
        <f>ROUND(SUM(Obs_DQ_Kpsc_sl,Obs_DQ_Kpsc_sr)/2,0)</f>
        <v>0</v>
      </c>
      <c r="C68" s="3" t="s">
        <v>35</v>
      </c>
      <c r="D68" s="4" t="s">
        <v>68</v>
      </c>
      <c r="E68" s="1"/>
      <c r="G68" s="1"/>
    </row>
    <row r="69" spans="1:7">
      <c r="A69" s="9" t="s">
        <v>36</v>
      </c>
      <c r="B69" s="10">
        <f>LOG10(1/Obs_DQ_Kpsc)/LOG10(2)</f>
        <v>0.72691643628259195</v>
      </c>
      <c r="D69" s="4" t="s">
        <v>124</v>
      </c>
      <c r="G69" s="1"/>
    </row>
    <row r="70" spans="1:7">
      <c r="A70" s="9" t="s">
        <v>37</v>
      </c>
      <c r="B70" s="10">
        <f>LOG10(0.5/Obs_DQ_Kpsc)/LOG10(2)</f>
        <v>-0.27308356371740811</v>
      </c>
      <c r="D70" s="4" t="s">
        <v>125</v>
      </c>
      <c r="G70" s="1"/>
    </row>
    <row r="72" spans="1:7">
      <c r="A72" s="9" t="s">
        <v>32</v>
      </c>
      <c r="B72" s="10">
        <f>Ts*Obs_DQ_Ki*I_MAX/E_MAX</f>
        <v>7.4219422564098192E-2</v>
      </c>
      <c r="C72" s="3" t="s">
        <v>35</v>
      </c>
      <c r="D72" s="4" t="s">
        <v>123</v>
      </c>
    </row>
    <row r="73" spans="1:7">
      <c r="A73" s="9" t="s">
        <v>40</v>
      </c>
      <c r="B73" s="24">
        <f>ROUND(SUM(Obs_DQ_Kisc_sl,Obs_DQ_Kisc_sr)/2,0)</f>
        <v>3</v>
      </c>
      <c r="C73" s="3" t="s">
        <v>35</v>
      </c>
      <c r="D73" s="4" t="s">
        <v>68</v>
      </c>
    </row>
    <row r="74" spans="1:7">
      <c r="A74" s="9" t="s">
        <v>36</v>
      </c>
      <c r="B74" s="5">
        <f>LOG10(1/B72)/LOG10(2)</f>
        <v>3.7520594130339857</v>
      </c>
      <c r="D74" s="4" t="s">
        <v>55</v>
      </c>
    </row>
    <row r="75" spans="1:7">
      <c r="A75" s="9" t="s">
        <v>37</v>
      </c>
      <c r="B75" s="10">
        <f>LOG10(0.5/B72)/LOG10(2)</f>
        <v>2.7520594130339857</v>
      </c>
      <c r="D75" s="4" t="s">
        <v>56</v>
      </c>
    </row>
    <row r="79" spans="1:7">
      <c r="A79" s="18" t="s">
        <v>74</v>
      </c>
      <c r="B79" s="18"/>
      <c r="C79" s="19"/>
      <c r="D79" s="20" t="s">
        <v>61</v>
      </c>
    </row>
    <row r="80" spans="1:7">
      <c r="A80" s="5" t="s">
        <v>126</v>
      </c>
      <c r="B80" s="22">
        <v>0.85</v>
      </c>
      <c r="C80" s="11"/>
      <c r="D80" s="12"/>
    </row>
    <row r="81" spans="1:4">
      <c r="A81" s="5" t="s">
        <v>25</v>
      </c>
      <c r="B81" s="22">
        <v>40</v>
      </c>
      <c r="C81" s="12" t="s">
        <v>27</v>
      </c>
      <c r="D81" s="12"/>
    </row>
    <row r="82" spans="1:4" hidden="1"/>
    <row r="83" spans="1:4" hidden="1">
      <c r="A83" s="5"/>
      <c r="B83" s="5"/>
      <c r="C83" s="11"/>
      <c r="D83" s="12"/>
    </row>
    <row r="84" spans="1:4" hidden="1">
      <c r="A84" s="25" t="s">
        <v>41</v>
      </c>
      <c r="B84" s="27">
        <f>TO_Kpsc*2^TO_Kpsc_shift</f>
        <v>0.51</v>
      </c>
    </row>
    <row r="85" spans="1:4" hidden="1">
      <c r="A85" s="25" t="s">
        <v>43</v>
      </c>
      <c r="B85" s="29">
        <f>-TO_Kpsc_shift</f>
        <v>-2</v>
      </c>
    </row>
    <row r="86" spans="1:4" hidden="1">
      <c r="A86" s="25" t="s">
        <v>42</v>
      </c>
      <c r="B86" s="27">
        <f>TO_Kisc*2^TO_Kisc_shift</f>
        <v>0.60318577920000005</v>
      </c>
    </row>
    <row r="87" spans="1:4" hidden="1">
      <c r="A87" s="26" t="s">
        <v>52</v>
      </c>
      <c r="B87" s="29">
        <f>-TO_Kisc_shift</f>
        <v>-9</v>
      </c>
    </row>
    <row r="88" spans="1:4" hidden="1">
      <c r="A88" s="26" t="s">
        <v>46</v>
      </c>
      <c r="B88" s="27">
        <f>TO_Th*2^TO_Th_shift</f>
        <v>0.53333333333333333</v>
      </c>
    </row>
    <row r="89" spans="1:4" hidden="1">
      <c r="A89" s="26" t="s">
        <v>47</v>
      </c>
      <c r="B89" s="29">
        <f>-TO_Th_shift</f>
        <v>-3</v>
      </c>
    </row>
    <row r="90" spans="1:4" hidden="1">
      <c r="A90" s="3"/>
      <c r="B90" s="3"/>
    </row>
    <row r="91" spans="1:4" hidden="1">
      <c r="A91" s="5" t="s">
        <v>26</v>
      </c>
      <c r="B91" s="5">
        <f>2*3.1415926*TO_f</f>
        <v>251.32740799999999</v>
      </c>
      <c r="C91" s="11"/>
      <c r="D91" s="12"/>
    </row>
    <row r="92" spans="1:4" hidden="1">
      <c r="A92" s="9" t="s">
        <v>29</v>
      </c>
      <c r="B92" s="10">
        <f>2*TO_att*TO_w</f>
        <v>427.25659359999997</v>
      </c>
      <c r="D92" s="4" t="s">
        <v>127</v>
      </c>
    </row>
    <row r="93" spans="1:4" hidden="1">
      <c r="A93" s="9" t="s">
        <v>30</v>
      </c>
      <c r="B93" s="10">
        <f>TO_w^2</f>
        <v>63165.466011998462</v>
      </c>
      <c r="D93" s="4" t="s">
        <v>53</v>
      </c>
    </row>
    <row r="94" spans="1:4" hidden="1">
      <c r="A94" s="9" t="s">
        <v>45</v>
      </c>
      <c r="B94" s="10">
        <f>Ts</f>
        <v>6.2500000000000001E-5</v>
      </c>
      <c r="D94" s="4" t="s">
        <v>112</v>
      </c>
    </row>
    <row r="95" spans="1:4" hidden="1"/>
    <row r="96" spans="1:4" hidden="1">
      <c r="A96" s="9" t="s">
        <v>122</v>
      </c>
      <c r="B96" s="10">
        <f>TO_Kp/W_MAX</f>
        <v>0.1275</v>
      </c>
      <c r="D96" s="4" t="s">
        <v>54</v>
      </c>
    </row>
    <row r="97" spans="1:4" hidden="1">
      <c r="A97" s="9" t="s">
        <v>40</v>
      </c>
      <c r="B97" s="8">
        <f>ROUND(SUM(TO_Kpsc_sl,TO_Kpsc_sr)/2,0)</f>
        <v>2</v>
      </c>
      <c r="D97" s="4" t="s">
        <v>68</v>
      </c>
    </row>
    <row r="98" spans="1:4" hidden="1">
      <c r="A98" s="9" t="s">
        <v>36</v>
      </c>
      <c r="B98" s="10">
        <f>LOG10(1/TO_Kpsc)/LOG10(2)</f>
        <v>2.9714308478032292</v>
      </c>
      <c r="D98" s="4" t="s">
        <v>38</v>
      </c>
    </row>
    <row r="99" spans="1:4" hidden="1">
      <c r="A99" s="9" t="s">
        <v>37</v>
      </c>
      <c r="B99" s="10">
        <f>LOG10(0.5/TO_Kpsc)/LOG10(2)</f>
        <v>1.971430847803229</v>
      </c>
      <c r="D99" s="4" t="s">
        <v>39</v>
      </c>
    </row>
    <row r="100" spans="1:4" hidden="1"/>
    <row r="101" spans="1:4" hidden="1">
      <c r="A101" s="9" t="s">
        <v>32</v>
      </c>
      <c r="B101" s="10">
        <f>Ts*TO_Ki/W_MAX</f>
        <v>1.1780972250000001E-3</v>
      </c>
      <c r="D101" s="4" t="s">
        <v>128</v>
      </c>
    </row>
    <row r="102" spans="1:4" hidden="1">
      <c r="A102" s="9" t="s">
        <v>40</v>
      </c>
      <c r="B102" s="8">
        <f>ROUND(SUM(TO_Kisc_sl,TO_Kisc_sr)/2,0)</f>
        <v>9</v>
      </c>
      <c r="D102" s="4" t="s">
        <v>68</v>
      </c>
    </row>
    <row r="103" spans="1:4" hidden="1">
      <c r="A103" s="9" t="s">
        <v>36</v>
      </c>
      <c r="B103" s="10">
        <f>LOG10(1/TO_Kisc)/LOG10(2)</f>
        <v>9.729325679078336</v>
      </c>
      <c r="D103" s="4" t="s">
        <v>55</v>
      </c>
    </row>
    <row r="104" spans="1:4" hidden="1">
      <c r="A104" s="9" t="s">
        <v>37</v>
      </c>
      <c r="B104" s="10">
        <f>LOG10(0.5/TO_Kisc)/LOG10(2)</f>
        <v>8.729325679078336</v>
      </c>
      <c r="D104" s="4" t="s">
        <v>56</v>
      </c>
    </row>
    <row r="105" spans="1:4" hidden="1"/>
    <row r="106" spans="1:4" hidden="1">
      <c r="A106" s="9" t="s">
        <v>45</v>
      </c>
      <c r="B106" s="10">
        <f>Ts*W_MAX/ANGLE_MAX</f>
        <v>6.6666666666666666E-2</v>
      </c>
      <c r="D106" s="4" t="s">
        <v>129</v>
      </c>
    </row>
    <row r="107" spans="1:4" hidden="1">
      <c r="A107" s="9" t="s">
        <v>40</v>
      </c>
      <c r="B107" s="8">
        <f>ROUND(SUM(TO_Th_sl,TO_Th_sr)/2,0)</f>
        <v>3</v>
      </c>
      <c r="D107" s="4" t="s">
        <v>68</v>
      </c>
    </row>
    <row r="108" spans="1:4" hidden="1">
      <c r="A108" s="9" t="s">
        <v>36</v>
      </c>
      <c r="B108" s="10">
        <f>LOG10(1/TO_Th)/LOG10(2)</f>
        <v>3.9068905956085187</v>
      </c>
      <c r="D108" s="4" t="s">
        <v>57</v>
      </c>
    </row>
    <row r="109" spans="1:4" hidden="1">
      <c r="A109" s="9" t="s">
        <v>37</v>
      </c>
      <c r="B109" s="10">
        <f>LOG10(0.5/TO_Th)/LOG10(2)</f>
        <v>2.9068905956085187</v>
      </c>
      <c r="D109" s="4" t="s">
        <v>58</v>
      </c>
    </row>
    <row r="110" spans="1:4" hidden="1"/>
    <row r="112" spans="1:4">
      <c r="A112" s="35" t="s">
        <v>75</v>
      </c>
      <c r="B112" s="36"/>
      <c r="C112" s="36"/>
      <c r="D112" s="37"/>
    </row>
    <row r="113" spans="1:4">
      <c r="A113" s="26" t="s">
        <v>126</v>
      </c>
      <c r="B113" s="22">
        <v>0.85</v>
      </c>
      <c r="C113" s="4" t="s">
        <v>35</v>
      </c>
    </row>
    <row r="114" spans="1:4">
      <c r="A114" s="25" t="s">
        <v>25</v>
      </c>
      <c r="B114" s="22">
        <v>400</v>
      </c>
      <c r="C114" s="4" t="s">
        <v>27</v>
      </c>
    </row>
    <row r="115" spans="1:4">
      <c r="A115" s="18" t="s">
        <v>69</v>
      </c>
      <c r="B115" s="18"/>
      <c r="C115" s="19"/>
      <c r="D115" s="20"/>
    </row>
    <row r="116" spans="1:4">
      <c r="A116" s="21" t="s">
        <v>41</v>
      </c>
      <c r="B116" s="29">
        <f>ID_Kpsc*2^ID_Kpsc_shift</f>
        <v>0.95137817434146998</v>
      </c>
    </row>
    <row r="117" spans="1:4">
      <c r="A117" s="21" t="s">
        <v>43</v>
      </c>
      <c r="B117" s="29">
        <f>-ID_Kpsc_shift</f>
        <v>-1</v>
      </c>
    </row>
    <row r="118" spans="1:4">
      <c r="A118" s="21" t="s">
        <v>42</v>
      </c>
      <c r="B118" s="29">
        <f>ID_Kisc*2^ID_Kisc_shift</f>
        <v>0.76002918157268262</v>
      </c>
    </row>
    <row r="119" spans="1:4">
      <c r="A119" s="21" t="s">
        <v>52</v>
      </c>
      <c r="B119" s="29">
        <f>-ID_Kisc_shift</f>
        <v>-4</v>
      </c>
    </row>
    <row r="120" spans="1:4" hidden="1"/>
    <row r="121" spans="1:4" hidden="1">
      <c r="A121" s="10" t="s">
        <v>29</v>
      </c>
      <c r="B121" s="10">
        <f>2*I_att*I_w*Ld-Rs</f>
        <v>14.864847919359999</v>
      </c>
      <c r="D121" s="4" t="s">
        <v>119</v>
      </c>
    </row>
    <row r="122" spans="1:4" hidden="1">
      <c r="A122" s="10" t="s">
        <v>30</v>
      </c>
      <c r="B122" s="10">
        <f>I_w^2*Ld</f>
        <v>23750.215220511422</v>
      </c>
      <c r="D122" s="4" t="s">
        <v>31</v>
      </c>
    </row>
    <row r="123" spans="1:4" hidden="1"/>
    <row r="124" spans="1:4" hidden="1">
      <c r="A124" s="9" t="s">
        <v>122</v>
      </c>
      <c r="B124" s="10">
        <f>ID_Kp*I_MAX/U_MAX</f>
        <v>0.47568908717073499</v>
      </c>
      <c r="D124" s="4" t="s">
        <v>120</v>
      </c>
    </row>
    <row r="125" spans="1:4" hidden="1">
      <c r="A125" s="9" t="s">
        <v>40</v>
      </c>
      <c r="B125" s="8">
        <f>ROUND(SUM(ID_Kpsc_sr,ID_Kpsc_sl)/2,0)</f>
        <v>1</v>
      </c>
    </row>
    <row r="126" spans="1:4" hidden="1">
      <c r="A126" s="9" t="s">
        <v>36</v>
      </c>
      <c r="B126" s="10">
        <f>LOG10(1/ID_Kpsc)/LOG10(2)</f>
        <v>1.0719091662135503</v>
      </c>
      <c r="D126" s="4" t="s">
        <v>124</v>
      </c>
    </row>
    <row r="127" spans="1:4" hidden="1">
      <c r="A127" s="9" t="s">
        <v>37</v>
      </c>
      <c r="B127" s="10">
        <f>LOG10(0.5/ID_Kpsc)/LOG10(2)</f>
        <v>7.190916621355023E-2</v>
      </c>
      <c r="D127" s="4" t="s">
        <v>125</v>
      </c>
    </row>
    <row r="128" spans="1:4" hidden="1"/>
    <row r="129" spans="1:4" hidden="1">
      <c r="A129" s="9" t="s">
        <v>32</v>
      </c>
      <c r="B129" s="10">
        <f>Ts*ID_Ki*I_MAX/U_MAX</f>
        <v>4.7501823848292664E-2</v>
      </c>
      <c r="D129" s="4" t="s">
        <v>131</v>
      </c>
    </row>
    <row r="130" spans="1:4" hidden="1">
      <c r="A130" s="9" t="s">
        <v>40</v>
      </c>
      <c r="B130" s="8">
        <f>ROUND(SUM(ID_Kisc_sl,ID_Kisc_sr)/2,0)</f>
        <v>4</v>
      </c>
    </row>
    <row r="131" spans="1:4" hidden="1">
      <c r="A131" s="9" t="s">
        <v>36</v>
      </c>
      <c r="B131" s="10">
        <f>LOG10(1/ID_Kisc)/LOG10(2)</f>
        <v>4.3958732825127704</v>
      </c>
      <c r="D131" s="4" t="s">
        <v>55</v>
      </c>
    </row>
    <row r="132" spans="1:4" hidden="1">
      <c r="A132" s="9" t="s">
        <v>37</v>
      </c>
      <c r="B132" s="10">
        <f>LOG10(0.5/ID_Kisc)/LOG10(2)</f>
        <v>3.39587328251277</v>
      </c>
      <c r="D132" s="4" t="s">
        <v>56</v>
      </c>
    </row>
    <row r="133" spans="1:4" hidden="1"/>
    <row r="134" spans="1:4" hidden="1"/>
    <row r="135" spans="1:4" hidden="1"/>
    <row r="136" spans="1:4">
      <c r="A136" s="18" t="s">
        <v>70</v>
      </c>
      <c r="B136" s="18"/>
      <c r="C136" s="19"/>
      <c r="D136" s="20"/>
    </row>
    <row r="137" spans="1:4">
      <c r="A137" s="21" t="s">
        <v>41</v>
      </c>
      <c r="B137" s="29">
        <f>2^IQ_Kpsc_shift*IQ_Kpsc</f>
        <v>0.97598887605733542</v>
      </c>
    </row>
    <row r="138" spans="1:4">
      <c r="A138" s="21" t="s">
        <v>43</v>
      </c>
      <c r="B138" s="29">
        <f>-IQ_Kpsc_shift</f>
        <v>-1</v>
      </c>
    </row>
    <row r="139" spans="1:4">
      <c r="A139" s="21" t="s">
        <v>42</v>
      </c>
      <c r="B139" s="29">
        <f>2^IQ_Kisc_shift*IQ_Kisc</f>
        <v>0.77822136942947573</v>
      </c>
    </row>
    <row r="140" spans="1:4">
      <c r="A140" s="21" t="s">
        <v>52</v>
      </c>
      <c r="B140" s="29">
        <f>-IQ_Kisc_shift</f>
        <v>-4</v>
      </c>
    </row>
    <row r="142" spans="1:4" hidden="1">
      <c r="A142" s="13" t="s">
        <v>26</v>
      </c>
      <c r="B142" s="10">
        <f>2*3.1415926*I_f</f>
        <v>2513.2740800000001</v>
      </c>
      <c r="C142" s="4" t="s">
        <v>28</v>
      </c>
      <c r="D142" s="4" t="s">
        <v>72</v>
      </c>
    </row>
    <row r="143" spans="1:4" hidden="1">
      <c r="A143" s="10" t="s">
        <v>29</v>
      </c>
      <c r="B143" s="10">
        <f>2*I_att*I_w*Lq-Rs</f>
        <v>15.2493788536</v>
      </c>
      <c r="D143" s="4" t="s">
        <v>130</v>
      </c>
    </row>
    <row r="144" spans="1:4" hidden="1">
      <c r="A144" s="10" t="s">
        <v>30</v>
      </c>
      <c r="B144" s="10">
        <f>I_w^2*Lq</f>
        <v>24318.704414619409</v>
      </c>
      <c r="D144" s="4" t="s">
        <v>71</v>
      </c>
    </row>
    <row r="145" spans="1:4" hidden="1"/>
    <row r="146" spans="1:4" hidden="1">
      <c r="A146" s="9" t="s">
        <v>122</v>
      </c>
      <c r="B146" s="10">
        <f>IQ_Kp*I_MAX/U_MAX</f>
        <v>0.48799443802866771</v>
      </c>
      <c r="D146" s="4" t="s">
        <v>120</v>
      </c>
    </row>
    <row r="147" spans="1:4" hidden="1">
      <c r="A147" s="9" t="s">
        <v>40</v>
      </c>
      <c r="B147" s="23">
        <f>ROUND(SUM(IQ_Kpsc_sl,IQ_Kpsc_sr)/2,0)</f>
        <v>1</v>
      </c>
    </row>
    <row r="148" spans="1:4" hidden="1">
      <c r="A148" s="9" t="s">
        <v>36</v>
      </c>
      <c r="B148" s="10">
        <f>LOG10(1/IQ_Kpsc)/LOG10(2)</f>
        <v>1.0350633902840103</v>
      </c>
      <c r="D148" s="4" t="s">
        <v>124</v>
      </c>
    </row>
    <row r="149" spans="1:4" hidden="1">
      <c r="A149" s="9" t="s">
        <v>37</v>
      </c>
      <c r="B149" s="10">
        <f>LOG10(0.5/IQ_Kpsc)/LOG10(2)</f>
        <v>3.5063390284010239E-2</v>
      </c>
      <c r="D149" s="4" t="s">
        <v>125</v>
      </c>
    </row>
    <row r="150" spans="1:4" hidden="1"/>
    <row r="151" spans="1:4" hidden="1">
      <c r="A151" s="9" t="s">
        <v>32</v>
      </c>
      <c r="B151" s="10">
        <f>B10*B144*B19/B18</f>
        <v>4.8638835589342233E-2</v>
      </c>
      <c r="D151" s="4" t="s">
        <v>131</v>
      </c>
    </row>
    <row r="152" spans="1:4" hidden="1">
      <c r="A152" s="9" t="s">
        <v>40</v>
      </c>
      <c r="B152" s="8">
        <f>ROUND(SUM(B153,B154)/2,0)</f>
        <v>4</v>
      </c>
    </row>
    <row r="153" spans="1:4" hidden="1">
      <c r="A153" s="9" t="s">
        <v>36</v>
      </c>
      <c r="B153" s="10">
        <f>LOG10(1/IQ_Kisc)/LOG10(2)</f>
        <v>4.3617474986081435</v>
      </c>
      <c r="D153" s="4" t="s">
        <v>55</v>
      </c>
    </row>
    <row r="154" spans="1:4" hidden="1">
      <c r="A154" s="9" t="s">
        <v>37</v>
      </c>
      <c r="B154" s="10">
        <f>LOG10(0.5/IQ_Kisc)/LOG10(2)</f>
        <v>3.3617474986081439</v>
      </c>
      <c r="D154" s="4" t="s">
        <v>56</v>
      </c>
    </row>
  </sheetData>
  <mergeCells count="1">
    <mergeCell ref="A112:D112"/>
  </mergeCells>
  <phoneticPr fontId="5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F71"/>
  <sheetViews>
    <sheetView tabSelected="1" topLeftCell="A10" workbookViewId="0">
      <selection activeCell="F21" sqref="F21"/>
    </sheetView>
  </sheetViews>
  <sheetFormatPr defaultRowHeight="15.05"/>
  <cols>
    <col min="1" max="1" width="30.33203125" customWidth="1"/>
    <col min="2" max="2" width="30.6640625" customWidth="1"/>
    <col min="3" max="3" width="11.33203125" customWidth="1"/>
    <col min="4" max="4" width="11" bestFit="1" customWidth="1"/>
    <col min="5" max="5" width="12.6640625" customWidth="1"/>
  </cols>
  <sheetData>
    <row r="2" spans="1:5">
      <c r="A2" t="s">
        <v>144</v>
      </c>
    </row>
    <row r="3" spans="1:5">
      <c r="A3" t="s">
        <v>145</v>
      </c>
    </row>
    <row r="4" spans="1:5">
      <c r="A4" t="s">
        <v>76</v>
      </c>
      <c r="B4" t="s">
        <v>138</v>
      </c>
      <c r="D4">
        <f>Rs</f>
        <v>1.2</v>
      </c>
      <c r="E4" t="s">
        <v>141</v>
      </c>
    </row>
    <row r="5" spans="1:5">
      <c r="A5" t="s">
        <v>76</v>
      </c>
      <c r="B5" t="s">
        <v>139</v>
      </c>
      <c r="D5">
        <f>Ld</f>
        <v>3.7599999999999999E-3</v>
      </c>
      <c r="E5" t="s">
        <v>142</v>
      </c>
    </row>
    <row r="6" spans="1:5">
      <c r="A6" t="s">
        <v>76</v>
      </c>
      <c r="B6" t="s">
        <v>140</v>
      </c>
      <c r="D6">
        <f>Lq</f>
        <v>3.8500000000000001E-3</v>
      </c>
      <c r="E6" t="s">
        <v>142</v>
      </c>
    </row>
    <row r="7" spans="1:5">
      <c r="A7" t="s">
        <v>76</v>
      </c>
      <c r="B7" t="s">
        <v>137</v>
      </c>
      <c r="D7">
        <f>PP</f>
        <v>4</v>
      </c>
      <c r="E7" t="s">
        <v>143</v>
      </c>
    </row>
    <row r="9" spans="1:5">
      <c r="A9" t="s">
        <v>146</v>
      </c>
    </row>
    <row r="10" spans="1:5">
      <c r="A10" t="s">
        <v>145</v>
      </c>
    </row>
    <row r="11" spans="1:5">
      <c r="A11" t="s">
        <v>76</v>
      </c>
      <c r="B11" t="s">
        <v>77</v>
      </c>
      <c r="D11">
        <f>UDC_MAX</f>
        <v>433</v>
      </c>
      <c r="E11" t="s">
        <v>147</v>
      </c>
    </row>
    <row r="12" spans="1:5">
      <c r="A12" t="s">
        <v>76</v>
      </c>
      <c r="B12" t="s">
        <v>78</v>
      </c>
      <c r="D12">
        <f>U_MAX</f>
        <v>249.99266655910796</v>
      </c>
      <c r="E12" t="s">
        <v>147</v>
      </c>
    </row>
    <row r="13" spans="1:5">
      <c r="A13" t="s">
        <v>76</v>
      </c>
      <c r="B13" t="s">
        <v>79</v>
      </c>
      <c r="D13">
        <f>I_MAX</f>
        <v>8</v>
      </c>
      <c r="E13" t="s">
        <v>148</v>
      </c>
    </row>
    <row r="14" spans="1:5">
      <c r="A14" t="s">
        <v>76</v>
      </c>
      <c r="B14" t="s">
        <v>80</v>
      </c>
      <c r="D14">
        <f>E_MAX</f>
        <v>250</v>
      </c>
      <c r="E14" t="s">
        <v>147</v>
      </c>
    </row>
    <row r="15" spans="1:5">
      <c r="A15" t="s">
        <v>76</v>
      </c>
      <c r="B15" t="s">
        <v>81</v>
      </c>
      <c r="D15">
        <f>N_MAX</f>
        <v>8000</v>
      </c>
      <c r="E15" t="s">
        <v>149</v>
      </c>
    </row>
    <row r="16" spans="1:5">
      <c r="A16" t="s">
        <v>76</v>
      </c>
      <c r="B16" t="s">
        <v>150</v>
      </c>
      <c r="D16">
        <f>1.5*I_MAX*U_MAX</f>
        <v>2999.9119987092954</v>
      </c>
      <c r="E16" t="s">
        <v>151</v>
      </c>
    </row>
    <row r="18" spans="1:5">
      <c r="A18" t="s">
        <v>152</v>
      </c>
    </row>
    <row r="19" spans="1:5">
      <c r="A19" t="s">
        <v>145</v>
      </c>
    </row>
    <row r="20" spans="1:5">
      <c r="A20" t="s">
        <v>153</v>
      </c>
      <c r="B20" t="s">
        <v>154</v>
      </c>
      <c r="D20">
        <f>PWM_CLOCK</f>
        <v>100000000</v>
      </c>
      <c r="E20" t="s">
        <v>155</v>
      </c>
    </row>
    <row r="21" spans="1:5">
      <c r="A21" t="s">
        <v>153</v>
      </c>
      <c r="B21" t="s">
        <v>82</v>
      </c>
      <c r="D21">
        <f>f_acr</f>
        <v>16000</v>
      </c>
      <c r="E21" t="s">
        <v>155</v>
      </c>
    </row>
    <row r="22" spans="1:5">
      <c r="A22" t="s">
        <v>153</v>
      </c>
      <c r="B22" t="s">
        <v>83</v>
      </c>
      <c r="D22">
        <f>f_asr</f>
        <v>1000</v>
      </c>
      <c r="E22" t="s">
        <v>155</v>
      </c>
    </row>
    <row r="23" spans="1:5">
      <c r="A23" t="s">
        <v>153</v>
      </c>
      <c r="B23" t="s">
        <v>156</v>
      </c>
      <c r="D23">
        <f>f_acr/f_asr</f>
        <v>16</v>
      </c>
    </row>
    <row r="25" spans="1:5">
      <c r="A25" t="s">
        <v>84</v>
      </c>
    </row>
    <row r="26" spans="1:5">
      <c r="A26" t="s">
        <v>145</v>
      </c>
    </row>
    <row r="27" spans="1:5">
      <c r="A27" t="s">
        <v>110</v>
      </c>
      <c r="B27">
        <f>I_att</f>
        <v>0.85</v>
      </c>
      <c r="C27" t="s">
        <v>85</v>
      </c>
    </row>
    <row r="28" spans="1:5">
      <c r="A28" t="s">
        <v>86</v>
      </c>
      <c r="B28">
        <f>I_f</f>
        <v>400</v>
      </c>
      <c r="C28" t="s">
        <v>111</v>
      </c>
    </row>
    <row r="29" spans="1:5">
      <c r="A29" t="s">
        <v>76</v>
      </c>
      <c r="B29" t="s">
        <v>87</v>
      </c>
      <c r="C29" s="30" t="s">
        <v>178</v>
      </c>
      <c r="D29">
        <f>ID_Kp_F*2^ID_Kp_F_shift</f>
        <v>0.47568908717073499</v>
      </c>
      <c r="E29" t="s">
        <v>97</v>
      </c>
    </row>
    <row r="30" spans="1:5">
      <c r="A30" t="s">
        <v>76</v>
      </c>
      <c r="B30" t="s">
        <v>88</v>
      </c>
      <c r="C30" s="30" t="s">
        <v>178</v>
      </c>
      <c r="D30">
        <f>ID_Ki_F*2^ID_Ki_F_shift</f>
        <v>4.7501823848292664E-2</v>
      </c>
      <c r="E30" t="s">
        <v>97</v>
      </c>
    </row>
    <row r="32" spans="1:5">
      <c r="A32" t="s">
        <v>76</v>
      </c>
      <c r="B32" t="s">
        <v>89</v>
      </c>
      <c r="C32" s="30" t="s">
        <v>178</v>
      </c>
      <c r="D32">
        <f>IQ_Kp_F*2^IQ_Kp_F_shift</f>
        <v>0.48799443802866771</v>
      </c>
      <c r="E32" t="s">
        <v>97</v>
      </c>
    </row>
    <row r="33" spans="1:6">
      <c r="A33" t="s">
        <v>76</v>
      </c>
      <c r="B33" t="s">
        <v>90</v>
      </c>
      <c r="C33" s="30" t="s">
        <v>178</v>
      </c>
      <c r="D33">
        <f>IQ_Ki_F*2^IQ_Ki_F_shift</f>
        <v>4.8638835589342233E-2</v>
      </c>
      <c r="E33" t="s">
        <v>97</v>
      </c>
    </row>
    <row r="35" spans="1:6">
      <c r="A35" t="s">
        <v>91</v>
      </c>
    </row>
    <row r="36" spans="1:6">
      <c r="A36" t="s">
        <v>145</v>
      </c>
    </row>
    <row r="37" spans="1:6">
      <c r="A37" t="s">
        <v>157</v>
      </c>
      <c r="B37">
        <f>Obs_DQ_att</f>
        <v>0.85</v>
      </c>
    </row>
    <row r="38" spans="1:6">
      <c r="A38" t="s">
        <v>158</v>
      </c>
      <c r="B38">
        <f>Obs_DQ_f</f>
        <v>500</v>
      </c>
      <c r="C38" t="s">
        <v>159</v>
      </c>
    </row>
    <row r="39" spans="1:6">
      <c r="A39" t="s">
        <v>76</v>
      </c>
      <c r="B39" t="s">
        <v>92</v>
      </c>
      <c r="D39" s="30" t="s">
        <v>178</v>
      </c>
      <c r="E39" s="32">
        <f>DQ_I_SCALE</f>
        <v>0.98044328552803128</v>
      </c>
      <c r="F39" s="31" t="s">
        <v>97</v>
      </c>
    </row>
    <row r="40" spans="1:6">
      <c r="A40" t="s">
        <v>76</v>
      </c>
      <c r="B40" t="s">
        <v>93</v>
      </c>
      <c r="D40" s="30" t="s">
        <v>178</v>
      </c>
      <c r="E40">
        <f>DQ_U_SCALE</f>
        <v>0.50927449999818275</v>
      </c>
      <c r="F40" t="s">
        <v>97</v>
      </c>
    </row>
    <row r="41" spans="1:6">
      <c r="A41" t="s">
        <v>76</v>
      </c>
      <c r="B41" t="s">
        <v>94</v>
      </c>
      <c r="D41" s="30" t="s">
        <v>178</v>
      </c>
      <c r="E41">
        <f>DQ_E_SCALE</f>
        <v>0.50928943937418514</v>
      </c>
      <c r="F41" t="s">
        <v>97</v>
      </c>
    </row>
    <row r="42" spans="1:6">
      <c r="A42" t="s">
        <v>76</v>
      </c>
      <c r="B42" t="s">
        <v>95</v>
      </c>
      <c r="D42" s="30" t="s">
        <v>178</v>
      </c>
      <c r="E42">
        <f>DQ_W_SCALE</f>
        <v>0.2102586963928727</v>
      </c>
      <c r="F42" t="s">
        <v>97</v>
      </c>
    </row>
    <row r="43" spans="1:6">
      <c r="A43" t="s">
        <v>76</v>
      </c>
      <c r="B43" t="s">
        <v>98</v>
      </c>
      <c r="C43" s="30" t="s">
        <v>177</v>
      </c>
      <c r="D43">
        <f>Obs_DQ_Kp_F * 2^Obs_DQ_Kp_F_shift</f>
        <v>0.60419391677440004</v>
      </c>
      <c r="E43" t="s">
        <v>97</v>
      </c>
    </row>
    <row r="44" spans="1:6">
      <c r="A44" t="s">
        <v>76</v>
      </c>
      <c r="B44" t="s">
        <v>99</v>
      </c>
      <c r="C44" s="30" t="s">
        <v>177</v>
      </c>
      <c r="D44">
        <f>Obs_DQ_Ki_F*2^Obs_DQ_Ki_F_shift</f>
        <v>7.4219422564098192E-2</v>
      </c>
      <c r="E44" t="s">
        <v>97</v>
      </c>
    </row>
    <row r="46" spans="1:6">
      <c r="A46" t="s">
        <v>160</v>
      </c>
    </row>
    <row r="47" spans="1:6">
      <c r="A47" t="s">
        <v>145</v>
      </c>
    </row>
    <row r="48" spans="1:6">
      <c r="A48" t="s">
        <v>157</v>
      </c>
      <c r="B48">
        <f>TO_att</f>
        <v>0.85</v>
      </c>
    </row>
    <row r="49" spans="1:6">
      <c r="A49" t="s">
        <v>161</v>
      </c>
      <c r="B49">
        <f>TO_f</f>
        <v>40</v>
      </c>
      <c r="C49" t="s">
        <v>159</v>
      </c>
    </row>
    <row r="50" spans="1:6">
      <c r="A50" t="s">
        <v>76</v>
      </c>
      <c r="B50" t="s">
        <v>101</v>
      </c>
      <c r="C50" s="30" t="s">
        <v>96</v>
      </c>
      <c r="D50">
        <f>TO_Kp_F</f>
        <v>0.51</v>
      </c>
      <c r="E50" t="s">
        <v>97</v>
      </c>
    </row>
    <row r="51" spans="1:6">
      <c r="A51" t="s">
        <v>76</v>
      </c>
      <c r="B51" t="s">
        <v>102</v>
      </c>
      <c r="C51" s="30" t="s">
        <v>100</v>
      </c>
      <c r="D51">
        <f>TO_Kp_F_shift</f>
        <v>-2</v>
      </c>
      <c r="E51" t="s">
        <v>97</v>
      </c>
    </row>
    <row r="52" spans="1:6">
      <c r="A52" t="s">
        <v>76</v>
      </c>
      <c r="B52" t="s">
        <v>103</v>
      </c>
      <c r="C52" s="30" t="s">
        <v>96</v>
      </c>
      <c r="D52">
        <f>TO_Ki_F</f>
        <v>0.60318577920000005</v>
      </c>
      <c r="E52" t="s">
        <v>97</v>
      </c>
    </row>
    <row r="53" spans="1:6">
      <c r="A53" t="s">
        <v>76</v>
      </c>
      <c r="B53" t="s">
        <v>104</v>
      </c>
      <c r="C53" s="30" t="s">
        <v>100</v>
      </c>
      <c r="D53">
        <f>TO_Ki_F_shift</f>
        <v>-9</v>
      </c>
      <c r="E53" t="s">
        <v>97</v>
      </c>
    </row>
    <row r="54" spans="1:6">
      <c r="A54" t="s">
        <v>76</v>
      </c>
      <c r="B54" t="s">
        <v>105</v>
      </c>
      <c r="C54" s="30" t="s">
        <v>96</v>
      </c>
      <c r="D54">
        <f>TO_Th_F</f>
        <v>0.53333333333333333</v>
      </c>
      <c r="E54" t="s">
        <v>97</v>
      </c>
    </row>
    <row r="55" spans="1:6">
      <c r="A55" t="s">
        <v>76</v>
      </c>
      <c r="B55" t="s">
        <v>106</v>
      </c>
      <c r="C55" s="30" t="s">
        <v>100</v>
      </c>
      <c r="D55">
        <f>TO_Th_F_shift</f>
        <v>-3</v>
      </c>
      <c r="E55" t="s">
        <v>97</v>
      </c>
    </row>
    <row r="58" spans="1:6">
      <c r="A58" t="s">
        <v>162</v>
      </c>
    </row>
    <row r="59" spans="1:6">
      <c r="A59" t="s">
        <v>145</v>
      </c>
    </row>
    <row r="60" spans="1:6">
      <c r="A60" t="s">
        <v>163</v>
      </c>
      <c r="B60">
        <f>Vbus_f_cd</f>
        <v>100</v>
      </c>
      <c r="C60" t="s">
        <v>159</v>
      </c>
      <c r="D60" t="s">
        <v>164</v>
      </c>
      <c r="E60">
        <f>Ts</f>
        <v>6.2500000000000001E-5</v>
      </c>
      <c r="F60" t="s">
        <v>165</v>
      </c>
    </row>
    <row r="61" spans="1:6">
      <c r="A61" t="s">
        <v>76</v>
      </c>
      <c r="B61" t="s">
        <v>168</v>
      </c>
      <c r="C61">
        <f>UDCBUS_B1</f>
        <v>1.924969605830117E-2</v>
      </c>
    </row>
    <row r="62" spans="1:6">
      <c r="A62" t="s">
        <v>76</v>
      </c>
      <c r="B62" t="s">
        <v>169</v>
      </c>
      <c r="C62">
        <f>UDCBUS_B2</f>
        <v>1.924969605830117E-2</v>
      </c>
    </row>
    <row r="63" spans="1:6">
      <c r="A63" t="s">
        <v>76</v>
      </c>
      <c r="B63" t="s">
        <v>170</v>
      </c>
      <c r="C63">
        <f>UDCBUS_A2</f>
        <v>-0.96150060788339764</v>
      </c>
    </row>
    <row r="64" spans="1:6">
      <c r="A64" t="s">
        <v>166</v>
      </c>
      <c r="B64">
        <f>Speed_f_cd</f>
        <v>30</v>
      </c>
      <c r="C64" t="s">
        <v>159</v>
      </c>
      <c r="D64" t="s">
        <v>164</v>
      </c>
      <c r="E64">
        <f>Ts</f>
        <v>6.2500000000000001E-5</v>
      </c>
      <c r="F64" t="s">
        <v>165</v>
      </c>
    </row>
    <row r="65" spans="1:6">
      <c r="A65" t="s">
        <v>76</v>
      </c>
      <c r="B65" t="s">
        <v>171</v>
      </c>
      <c r="C65">
        <f>SPEED_EST_B1</f>
        <v>5.8531074580807658E-3</v>
      </c>
    </row>
    <row r="66" spans="1:6">
      <c r="A66" t="s">
        <v>76</v>
      </c>
      <c r="B66" t="s">
        <v>172</v>
      </c>
      <c r="C66">
        <f>SPEED_EST_B2</f>
        <v>5.8531074580807658E-3</v>
      </c>
    </row>
    <row r="67" spans="1:6">
      <c r="A67" t="s">
        <v>76</v>
      </c>
      <c r="B67" t="s">
        <v>173</v>
      </c>
      <c r="C67">
        <f>SPEED_EST_A2</f>
        <v>-0.98829378508383836</v>
      </c>
    </row>
    <row r="68" spans="1:6">
      <c r="A68" t="s">
        <v>167</v>
      </c>
      <c r="B68">
        <f>FW_f_cd</f>
        <v>50</v>
      </c>
      <c r="C68" t="s">
        <v>159</v>
      </c>
      <c r="D68" t="s">
        <v>164</v>
      </c>
      <c r="E68">
        <f>1/f_asr</f>
        <v>1E-3</v>
      </c>
      <c r="F68" t="s">
        <v>165</v>
      </c>
    </row>
    <row r="69" spans="1:6">
      <c r="A69" t="s">
        <v>76</v>
      </c>
      <c r="B69" t="s">
        <v>174</v>
      </c>
      <c r="C69">
        <f>FW_B1</f>
        <v>0.13666789852344627</v>
      </c>
    </row>
    <row r="70" spans="1:6">
      <c r="A70" t="s">
        <v>76</v>
      </c>
      <c r="B70" t="s">
        <v>175</v>
      </c>
      <c r="C70">
        <f>FW_B2</f>
        <v>0.13666789852344627</v>
      </c>
    </row>
    <row r="71" spans="1:6">
      <c r="A71" t="s">
        <v>76</v>
      </c>
      <c r="B71" t="s">
        <v>176</v>
      </c>
      <c r="C71">
        <f>FW_A2</f>
        <v>-0.7266642029531073</v>
      </c>
    </row>
  </sheetData>
  <phoneticPr fontId="5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5.05"/>
  <sheetData/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105</vt:i4>
      </vt:variant>
    </vt:vector>
  </HeadingPairs>
  <TitlesOfParts>
    <vt:vector size="108" baseType="lpstr">
      <vt:lpstr>Sheet1</vt:lpstr>
      <vt:lpstr>Sheet2</vt:lpstr>
      <vt:lpstr>Sheet3</vt:lpstr>
      <vt:lpstr>ANGLE_MAX</vt:lpstr>
      <vt:lpstr>DQ_E_SCALE</vt:lpstr>
      <vt:lpstr>DQ_I_SCALE</vt:lpstr>
      <vt:lpstr>DQ_U_SCALE</vt:lpstr>
      <vt:lpstr>DQ_W_SCALE</vt:lpstr>
      <vt:lpstr>E_MAX</vt:lpstr>
      <vt:lpstr>f_acr</vt:lpstr>
      <vt:lpstr>f_asr</vt:lpstr>
      <vt:lpstr>FW_A2</vt:lpstr>
      <vt:lpstr>FW_B1</vt:lpstr>
      <vt:lpstr>FW_B2</vt:lpstr>
      <vt:lpstr>FW_f_cd</vt:lpstr>
      <vt:lpstr>I_att</vt:lpstr>
      <vt:lpstr>I_f</vt:lpstr>
      <vt:lpstr>I_MAX</vt:lpstr>
      <vt:lpstr>I_w</vt:lpstr>
      <vt:lpstr>ID_Ki</vt:lpstr>
      <vt:lpstr>ID_Ki_F</vt:lpstr>
      <vt:lpstr>ID_Ki_F_shift</vt:lpstr>
      <vt:lpstr>ID_Kisc</vt:lpstr>
      <vt:lpstr>ID_Kisc_shift</vt:lpstr>
      <vt:lpstr>ID_Kisc_sl</vt:lpstr>
      <vt:lpstr>ID_Kisc_sr</vt:lpstr>
      <vt:lpstr>ID_Kp</vt:lpstr>
      <vt:lpstr>ID_Kp_F</vt:lpstr>
      <vt:lpstr>ID_Kp_F_shift</vt:lpstr>
      <vt:lpstr>ID_Kpsc</vt:lpstr>
      <vt:lpstr>ID_Kpsc_shift</vt:lpstr>
      <vt:lpstr>ID_Kpsc_sl</vt:lpstr>
      <vt:lpstr>ID_Kpsc_sr</vt:lpstr>
      <vt:lpstr>IQ_Ki</vt:lpstr>
      <vt:lpstr>IQ_Ki_F</vt:lpstr>
      <vt:lpstr>IQ_Ki_F_shift</vt:lpstr>
      <vt:lpstr>IQ_Kisc</vt:lpstr>
      <vt:lpstr>IQ_Kisc_shift</vt:lpstr>
      <vt:lpstr>IQ_Kisc_sl</vt:lpstr>
      <vt:lpstr>IQ_Kisc_sr</vt:lpstr>
      <vt:lpstr>IQ_Kp</vt:lpstr>
      <vt:lpstr>IQ_Kp_F</vt:lpstr>
      <vt:lpstr>IQ_Kp_F_shift</vt:lpstr>
      <vt:lpstr>IQ_Kpsc</vt:lpstr>
      <vt:lpstr>IQ_Kpsc_shift</vt:lpstr>
      <vt:lpstr>IQ_Kpsc_sl</vt:lpstr>
      <vt:lpstr>IQ_Kpsc_sr</vt:lpstr>
      <vt:lpstr>Ld</vt:lpstr>
      <vt:lpstr>Lq</vt:lpstr>
      <vt:lpstr>N_MAX</vt:lpstr>
      <vt:lpstr>Obs_DQ_att</vt:lpstr>
      <vt:lpstr>Obs_DQ_f</vt:lpstr>
      <vt:lpstr>Obs_DQ_Ki</vt:lpstr>
      <vt:lpstr>Obs_DQ_Ki_F</vt:lpstr>
      <vt:lpstr>Obs_DQ_Ki_F_shift</vt:lpstr>
      <vt:lpstr>Obs_DQ_Kisc</vt:lpstr>
      <vt:lpstr>Obs_DQ_Kisc_shift</vt:lpstr>
      <vt:lpstr>Obs_DQ_Kisc_sl</vt:lpstr>
      <vt:lpstr>Obs_DQ_Kisc_sr</vt:lpstr>
      <vt:lpstr>Obs_DQ_Kp</vt:lpstr>
      <vt:lpstr>Obs_DQ_Kp_F</vt:lpstr>
      <vt:lpstr>Obs_DQ_Kp_F_shift</vt:lpstr>
      <vt:lpstr>Obs_DQ_Kpsc</vt:lpstr>
      <vt:lpstr>Obs_DQ_Kpsc_shift</vt:lpstr>
      <vt:lpstr>Obs_DQ_Kpsc_sl</vt:lpstr>
      <vt:lpstr>Obs_DQ_Kpsc_sr</vt:lpstr>
      <vt:lpstr>Obs_DQ_w</vt:lpstr>
      <vt:lpstr>PP</vt:lpstr>
      <vt:lpstr>PWM_CLOCK</vt:lpstr>
      <vt:lpstr>Rs</vt:lpstr>
      <vt:lpstr>SPEED_EST_A2</vt:lpstr>
      <vt:lpstr>SPEED_EST_B1</vt:lpstr>
      <vt:lpstr>SPEED_EST_B2</vt:lpstr>
      <vt:lpstr>Speed_f_cd</vt:lpstr>
      <vt:lpstr>TO_att</vt:lpstr>
      <vt:lpstr>TO_f</vt:lpstr>
      <vt:lpstr>TO_Ki</vt:lpstr>
      <vt:lpstr>TO_Ki_F</vt:lpstr>
      <vt:lpstr>TO_Ki_F_shift</vt:lpstr>
      <vt:lpstr>TO_Kisc</vt:lpstr>
      <vt:lpstr>TO_Kisc_shift</vt:lpstr>
      <vt:lpstr>TO_Kisc_sl</vt:lpstr>
      <vt:lpstr>TO_Kisc_sr</vt:lpstr>
      <vt:lpstr>TO_Kp</vt:lpstr>
      <vt:lpstr>TO_Kp_F</vt:lpstr>
      <vt:lpstr>TO_Kp_F_shift</vt:lpstr>
      <vt:lpstr>TO_Kpsc</vt:lpstr>
      <vt:lpstr>TO_Kpsc_shift</vt:lpstr>
      <vt:lpstr>TO_Kpsc_sl</vt:lpstr>
      <vt:lpstr>TO_Kpsc_sr</vt:lpstr>
      <vt:lpstr>TO_Th</vt:lpstr>
      <vt:lpstr>TO_Th_F</vt:lpstr>
      <vt:lpstr>TO_Th_F_shift</vt:lpstr>
      <vt:lpstr>TO_Th_shift</vt:lpstr>
      <vt:lpstr>TO_Th_sl</vt:lpstr>
      <vt:lpstr>TO_Th_sr</vt:lpstr>
      <vt:lpstr>TO_w</vt:lpstr>
      <vt:lpstr>Ts</vt:lpstr>
      <vt:lpstr>U_MAX</vt:lpstr>
      <vt:lpstr>UDC_MAX</vt:lpstr>
      <vt:lpstr>UDCBUS_A2</vt:lpstr>
      <vt:lpstr>UDCBUS_B1</vt:lpstr>
      <vt:lpstr>UDCBUS_B2</vt:lpstr>
      <vt:lpstr>Vbus_f_cd</vt:lpstr>
      <vt:lpstr>W_MAX</vt:lpstr>
      <vt:lpstr>Wcp_FW</vt:lpstr>
      <vt:lpstr>Wcp_Speed</vt:lpstr>
      <vt:lpstr>Wcp_Vbus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2020-12-15T08:42:03Z</dcterms:modified>
</cp:coreProperties>
</file>